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Uc/YS7uqhIF0GosCH4oD3Ttx3eMOGktTRqHkDw1fYbKXrmYXg/8/JXdIt9/ijqvpmlXr4n61ZJwFKMLZUBphOg==" workbookSaltValue="Iu3qWaAy7Yz/RTWi3Aw/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S19" i="8" l="1"/>
  <c r="AB13" i="21"/>
  <c r="C12" i="14"/>
  <c r="K12" i="14" s="1"/>
  <c r="AZ12" i="11"/>
  <c r="BU16" i="17"/>
  <c r="BU10" i="17"/>
  <c r="B9" i="6"/>
  <c r="BH16" i="11"/>
  <c r="BH10" i="11"/>
  <c r="BW11" i="20"/>
  <c r="AL16" i="11"/>
  <c r="C16" i="6"/>
  <c r="BE9" i="13"/>
  <c r="V9" i="16"/>
  <c r="U9" i="17"/>
  <c r="U19" i="17" s="1"/>
  <c r="BJ16" i="11"/>
  <c r="BM17" i="11"/>
  <c r="AQ10" i="21"/>
  <c r="BG12" i="11"/>
  <c r="BW10" i="20"/>
  <c r="BW12" i="20"/>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<sst xmlns="http://schemas.openxmlformats.org/spreadsheetml/2006/main" count="2102" uniqueCount="918">
  <si>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</si>
  <si>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</si>
  <si>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</si>
  <si>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</si>
  <si>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</si>
  <si>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</si>
  <si>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</si>
  <si>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</si>
  <si>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</si>
  <si>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</si>
  <si>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</si>
  <si>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</si>
  <si>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</si>
  <si>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</si>
  <si>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</si>
  <si>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</si>
  <si>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</si>
  <si>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</si>
  <si>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</si>
  <si>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</si>
  <si>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</si>
  <si>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</si>
  <si>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</si>
  <si>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</si>
  <si>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</si>
  <si>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</si>
  <si>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</si>
  <si>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</si>
  <si>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</si>
  <si>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</si>
  <si>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</si>
  <si>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</si>
  <si>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</si>
  <si>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</si>
  <si>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</si>
  <si>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</si>
  <si>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</si>
  <si>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</si>
  <si>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</si>
  <si>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</si>
  <si>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</si>
  <si>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</si>
  <si>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</si>
  <si>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</si>
  <si>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</si>
  <si>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</si>
  <si>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</si>
  <si>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</si>
  <si>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</si>
  <si>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</si>
  <si>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</si>
  <si>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</si>
  <si>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</si>
  <si>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</si>
  <si>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</si>
  <si>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</si>
  <si>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</si>
  <si>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</si>
  <si>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</si>
  <si>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</si>
  <si>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</si>
  <si>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</si>
  <si>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</si>
  <si>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</si>
  <si>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</si>
  <si>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</si>
  <si>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</si>
  <si>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</si>
  <si>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</si>
  <si>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</si>
  <si>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</si>
  <si>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</si>
  <si>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</si>
  <si>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</si>
  <si>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</si>
  <si>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</si>
  <si>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</si>
  <si>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</si>
  <si>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</si>
  <si>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</si>
  <si>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</si>
  <si>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</si>
  <si>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</si>
  <si>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</si>
  <si>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</si>
  <si>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</si>
  <si>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</si>
  <si>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</si>
  <si>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</si>
  <si>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</si>
  <si>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</si>
  <si>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</si>
  <si>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</si>
  <si>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</si>
  <si>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</si>
  <si>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</si>
  <si>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</si>
  <si>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</si>
  <si>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</si>
  <si>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</si>
  <si>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</si>
  <si>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</si>
  <si>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</si>
  <si>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</si>
  <si>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</si>
  <si>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</si>
  <si>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</si>
  <si>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</si>
  <si>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</si>
  <si>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</si>
  <si>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</si>
  <si>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</si>
  <si>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</si>
  <si>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</si>
  <si>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</si>
  <si>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</si>
  <si>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</si>
  <si>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</si>
  <si>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</si>
  <si>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</si>
  <si>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</si>
  <si>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</si>
  <si>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</si>
  <si>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</si>
  <si>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</si>
  <si>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</si>
  <si>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</si>
  <si>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</si>
  <si>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</si>
  <si>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</si>
  <si>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</si>
  <si>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</si>
  <si>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</si>
  <si>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</si>
  <si>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</si>
  <si>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</si>
  <si>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</si>
  <si>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</si>
  <si>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</si>
  <si>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</si>
  <si>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</si>
  <si>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</si>
  <si>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</si>
  <si>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</si>
  <si>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</si>
  <si>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</si>
  <si>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</si>
  <si>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</si>
  <si>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</si>
  <si>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</si>
  <si>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</si>
  <si>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</si>
  <si>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</si>
  <si>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</si>
  <si>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</si>
  <si>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</si>
  <si>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</si>
  <si>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</si>
  <si>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</si>
  <si>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</si>
  <si>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</si>
  <si>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</si>
  <si>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</si>
  <si>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</si>
  <si>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</si>
  <si>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</si>
  <si>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</si>
  <si>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</si>
  <si>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</si>
  <si>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</si>
  <si>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</si>
  <si>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</si>
  <si>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</si>
  <si>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</si>
  <si>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</si>
  <si>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</si>
  <si>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</si>
  <si>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</si>
  <si>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</si>
  <si>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</si>
  <si>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</si>
  <si>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</si>
  <si>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</si>
  <si>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</si>
  <si>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</si>
  <si>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</si>
  <si>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</si>
  <si>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</si>
  <si>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</si>
  <si>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</si>
  <si>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</si>
  <si>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</si>
  <si>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</si>
  <si>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</si>
  <si>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</si>
  <si>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</si>
  <si>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</si>
  <si>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</si>
  <si>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</si>
  <si>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</si>
  <si>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</si>
  <si>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</si>
  <si>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</si>
  <si>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</si>
  <si>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</si>
  <si>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</si>
  <si>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</si>
  <si>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</si>
  <si>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</si>
  <si>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</si>
  <si>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</si>
  <si>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</si>
  <si>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</si>
  <si>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</si>
  <si>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</si>
  <si>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</si>
  <si>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</si>
  <si>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</si>
  <si>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</si>
  <si>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</si>
  <si>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</si>
  <si>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</si>
  <si>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</si>
  <si>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</si>
  <si>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</si>
  <si>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</si>
  <si>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</si>
  <si>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</si>
  <si>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</si>
  <si>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</si>
  <si>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</si>
  <si>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</si>
  <si>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</si>
  <si>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</si>
  <si>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</si>
  <si>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</si>
  <si>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</si>
  <si>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</si>
  <si>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</si>
  <si>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</si>
  <si>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</si>
  <si>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</si>
  <si>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</si>
  <si>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</si>
  <si>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</si>
  <si>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</si>
  <si>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</si>
  <si>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</si>
  <si>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</si>
  <si>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</si>
  <si>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</si>
  <si>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</si>
  <si>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</si>
  <si>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</si>
  <si>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</si>
  <si>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</si>
  <si>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</si>
  <si>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</si>
  <si>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</si>
  <si>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</si>
  <si>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</si>
  <si>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</si>
  <si>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</si>
  <si>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</si>
  <si>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</si>
  <si>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</si>
  <si>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</si>
  <si>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</si>
  <si>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</si>
  <si>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</si>
  <si>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</si>
  <si>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</si>
  <si>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</si>
  <si>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</si>
  <si>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</si>
  <si>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</si>
  <si>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</si>
  <si>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</si>
  <si>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</si>
  <si>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</si>
  <si>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</si>
  <si>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</si>
  <si>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</si>
  <si>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</si>
  <si>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</si>
  <si>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</si>
  <si>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</si>
  <si>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</si>
  <si>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</si>
  <si>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</si>
  <si>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</si>
  <si>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</si>
  <si>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</si>
  <si>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</si>
  <si>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</si>
  <si>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</si>
  <si>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</si>
  <si>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</si>
  <si>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</si>
  <si>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</si>
  <si>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</si>
  <si>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</si>
  <si>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</si>
  <si>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</si>
  <si>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</si>
  <si>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</si>
  <si>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</si>
  <si>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</si>
  <si>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</si>
  <si>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</si>
  <si>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</si>
  <si>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</si>
  <si>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</si>
  <si>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</si>
  <si>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</si>
  <si>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</si>
  <si>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</si>
  <si>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</si>
  <si>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</si>
  <si>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</si>
  <si>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</si>
  <si>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</si>
  <si>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</si>
  <si>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</si>
  <si>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</si>
  <si>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</si>
  <si>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</si>
  <si>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</si>
  <si>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</si>
  <si>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</si>
  <si>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</si>
  <si>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</si>
  <si>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</si>
  <si>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</si>
  <si>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</si>
  <si>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</si>
  <si>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</si>
  <si>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</si>
  <si>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</si>
  <si>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</si>
  <si>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</si>
  <si>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</si>
  <si>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</si>
  <si>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</si>
  <si>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</si>
  <si>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</si>
  <si>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</si>
  <si>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</si>
  <si>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</si>
  <si>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</si>
  <si>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</si>
  <si>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</si>
  <si>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</si>
  <si>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</si>
  <si>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</si>
  <si>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</si>
  <si>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</si>
  <si>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</si>
  <si>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</si>
  <si>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</si>
  <si>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</si>
  <si>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</si>
  <si>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</si>
  <si>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</si>
  <si>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</si>
  <si>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</si>
  <si>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</si>
  <si>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</si>
  <si>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</si>
  <si>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</si>
  <si>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</si>
  <si>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</si>
  <si>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</si>
  <si>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</si>
  <si>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</si>
  <si>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</si>
  <si>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</si>
  <si>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</si>
  <si>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</si>
  <si>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</si>
  <si>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</si>
  <si>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</si>
  <si>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</si>
  <si>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</si>
  <si>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</si>
  <si>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</si>
  <si>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</si>
  <si>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</si>
  <si>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</si>
  <si>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</si>
  <si>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</si>
  <si>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</si>
  <si>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</si>
  <si>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</si>
  <si>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</si>
  <si>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</si>
  <si>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</si>
  <si>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</si>
  <si>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</si>
  <si>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</si>
  <si>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</si>
  <si>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</si>
  <si>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</si>
  <si>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</si>
  <si>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</si>
  <si>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</si>
  <si>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</si>
  <si>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</si>
  <si>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</si>
  <si>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</si>
  <si>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</si>
  <si>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</si>
  <si>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</si>
  <si>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</si>
  <si>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</si>
  <si>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</si>
  <si>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</si>
  <si>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</si>
  <si>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</si>
  <si>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</si>
  <si>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</si>
  <si>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</si>
  <si>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</si>
  <si>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</si>
  <si>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</si>
  <si>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</si>
  <si>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</si>
  <si>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</si>
  <si>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</si>
  <si>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</si>
  <si>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</si>
  <si>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</si>
  <si>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</si>
  <si>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</si>
  <si>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</si>
  <si>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</si>
  <si>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</si>
  <si>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</si>
  <si>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</si>
  <si>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</si>
  <si>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</si>
  <si>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</si>
  <si>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</si>
  <si>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</si>
  <si>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</si>
  <si>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</si>
  <si>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</si>
  <si>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</si>
  <si>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</si>
  <si>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</si>
  <si>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</si>
  <si>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</si>
  <si>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</si>
  <si>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</si>
  <si>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</si>
  <si>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</si>
  <si>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</si>
  <si>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</si>
  <si>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</si>
  <si>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</si>
  <si>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</si>
  <si>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</si>
  <si>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</si>
  <si>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</si>
  <si>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</si>
  <si>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</si>
  <si>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</si>
  <si>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</si>
  <si>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</si>
  <si>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</si>
  <si>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</si>
  <si>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</si>
  <si>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</si>
  <si>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</si>
  <si>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</si>
  <si>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</si>
  <si>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</si>
  <si>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</si>
  <si>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</si>
  <si>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</si>
  <si>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</si>
  <si>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</si>
  <si>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</si>
  <si>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</si>
  <si>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</si>
  <si>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</si>
  <si>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</si>
  <si>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</si>
  <si>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</si>
  <si>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</si>
  <si>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</si>
  <si>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</si>
  <si>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</si>
  <si>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</si>
  <si>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</si>
  <si>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</si>
  <si>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</si>
  <si>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</si>
  <si>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</si>
  <si>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</si>
  <si>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</si>
  <si>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</si>
  <si>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</si>
  <si>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</si>
  <si>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</si>
  <si>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</si>
  <si>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</si>
  <si>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</si>
  <si>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</si>
  <si>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</si>
  <si>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</si>
  <si>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</si>
  <si>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</si>
  <si>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</si>
  <si>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</si>
  <si>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</si>
  <si>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</si>
  <si>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</si>
  <si>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</si>
  <si>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</si>
  <si>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</si>
  <si>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</si>
  <si>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</si>
  <si>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</si>
  <si>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</si>
  <si>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</si>
  <si>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</si>
  <si>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</si>
  <si>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</si>
  <si>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</si>
  <si>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</si>
  <si>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</si>
  <si>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</si>
  <si>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</si>
  <si>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</si>
  <si>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</si>
  <si>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</si>
  <si>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</si>
  <si>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</si>
  <si>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</si>
  <si>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</si>
  <si>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</si>
  <si>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</si>
  <si>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</si>
  <si>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</si>
  <si>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</si>
  <si>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</si>
  <si>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</si>
  <si>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</si>
  <si>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</si>
  <si>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</si>
  <si>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</si>
  <si>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</si>
  <si>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</si>
  <si>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</si>
  <si>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</si>
  <si>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</si>
  <si>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</si>
  <si>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</si>
  <si>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</si>
  <si>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</si>
  <si>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</si>
  <si>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</si>
  <si>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</si>
  <si>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</si>
  <si>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</si>
  <si>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</si>
  <si>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</si>
  <si>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</si>
  <si>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</si>
  <si>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</si>
  <si>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</si>
  <si>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</si>
  <si>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</si>
  <si>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</si>
  <si>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</si>
  <si>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</si>
  <si>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</si>
  <si>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</si>
  <si>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</si>
  <si>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</si>
  <si>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</si>
  <si>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</si>
  <si>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</si>
  <si>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</si>
  <si>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</si>
  <si>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</si>
  <si>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</si>
  <si>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</si>
  <si>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</si>
  <si>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</si>
  <si>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</si>
  <si>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</si>
  <si>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</si>
  <si>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</si>
  <si>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</si>
  <si>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</si>
  <si>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</si>
  <si>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</si>
  <si>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</si>
  <si>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</si>
  <si>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</si>
  <si>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</si>
  <si>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</si>
  <si>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</si>
  <si>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</si>
  <si>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</si>
  <si>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</si>
  <si>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</si>
  <si>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</si>
  <si>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</si>
  <si>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</si>
  <si>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</si>
  <si>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</si>
  <si>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</si>
  <si>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</si>
  <si>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</si>
  <si>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</si>
  <si>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</si>
  <si>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</si>
  <si>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</si>
  <si>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</si>
  <si>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</si>
  <si>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</si>
  <si>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</si>
  <si>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</si>
  <si>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</si>
  <si>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</si>
  <si>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</si>
  <si>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</si>
  <si>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</si>
  <si>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</si>
  <si>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</si>
  <si>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</si>
  <si>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</si>
  <si>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</si>
  <si>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</si>
  <si>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</si>
  <si>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</si>
  <si>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</si>
  <si>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</si>
  <si>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</si>
  <si>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</si>
  <si>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</si>
  <si>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</si>
  <si>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</si>
  <si>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</si>
  <si>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</si>
  <si>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</si>
  <si>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</si>
  <si>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</si>
  <si>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</si>
  <si>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</si>
  <si>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</si>
  <si>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</si>
  <si>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</si>
  <si>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</si>
  <si>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</si>
  <si>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</si>
  <si>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</si>
  <si>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</si>
  <si>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</si>
  <si>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</si>
  <si>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</si>
  <si>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</si>
  <si>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</si>
  <si>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</si>
  <si>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</si>
  <si>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</si>
  <si>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</si>
  <si>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</si>
  <si>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</si>
  <si>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</si>
  <si>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</si>
  <si>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</si>
  <si>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</si>
  <si>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</si>
  <si>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</si>
  <si>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</si>
  <si>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</si>
  <si>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</si>
  <si>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</si>
  <si>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</si>
  <si>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</si>
  <si>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</si>
  <si>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</si>
  <si>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</si>
  <si>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</si>
  <si>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</si>
  <si>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</si>
  <si>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</si>
  <si>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</si>
  <si>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</si>
  <si>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</si>
  <si>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</si>
  <si>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</si>
  <si>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</si>
  <si>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</si>
  <si>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</si>
  <si>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</si>
  <si>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</si>
  <si>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</si>
  <si>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</si>
  <si>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</si>
  <si>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</si>
  <si>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</si>
  <si>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</si>
  <si>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</si>
  <si>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</si>
  <si>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</si>
  <si>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</si>
  <si>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</si>
  <si>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</si>
  <si>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</si>
  <si>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</si>
  <si>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</si>
  <si>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</si>
  <si>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</si>
  <si>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</si>
  <si>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</si>
  <si>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</si>
  <si>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</si>
  <si>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</si>
  <si>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</si>
  <si>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</si>
  <si>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</si>
  <si>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</si>
  <si>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</si>
  <si>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</si>
  <si>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</si>
  <si>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</si>
  <si>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</si>
  <si>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</si>
  <si>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</si>
  <si>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</si>
  <si>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</si>
  <si>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</si>
  <si>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</si>
  <si>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</si>
  <si>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</si>
  <si>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</si>
  <si>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</si>
  <si>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</si>
  <si>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</si>
  <si>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</si>
  <si>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</si>
  <si>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</si>
  <si>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</si>
  <si>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</si>
  <si>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</si>
  <si>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</si>
  <si>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</si>
  <si>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</si>
  <si>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</si>
  <si>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</si>
  <si>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</si>
  <si>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</si>
  <si>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</si>
  <si>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</si>
  <si>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</si>
  <si>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</si>
  <si>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</si>
  <si>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</si>
  <si>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</si>
  <si>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</si>
  <si>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</si>
  <si>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</si>
  <si>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</si>
  <si>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</si>
  <si>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</si>
  <si>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</si>
  <si>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</si>
  <si>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</si>
  <si>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</si>
  <si>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</si>
  <si>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</si>
  <si>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</si>
  <si>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</si>
  <si>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</si>
  <si>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</si>
  <si>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</si>
  <si>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</si>
  <si>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</si>
  <si>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</si>
  <si>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</si>
  <si>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</si>
  <si>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</si>
  <si>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</si>
  <si>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</si>
  <si>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</si>
  <si>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</si>
  <si>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</si>
  <si>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</si>
  <si>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</si>
  <si>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</si>
  <si>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</si>
  <si>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</si>
  <si>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</si>
  <si>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</si>
  <si>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</si>
  <si>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</si>
  <si>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</si>
  <si>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</si>
  <si>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</si>
  <si>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</si>
  <si>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</si>
  <si>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</si>
  <si>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</si>
  <si>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</si>
  <si>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</si>
  <si>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</si>
  <si>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</si>
  <si>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</si>
  <si>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</si>
  <si>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</si>
  <si>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</si>
  <si>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</si>
  <si>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</si>
  <si>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</si>
  <si>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</si>
  <si>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</si>
  <si>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</si>
  <si>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</si>
  <si>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</si>
  <si>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</si>
  <si>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</si>
  <si>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</si>
  <si>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</si>
  <si>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</si>
  <si>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</si>
  <si>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</si>
  <si>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</si>
  <si>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</si>
  <si>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</si>
  <si>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</si>
  <si>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</si>
  <si>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</si>
  <si>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</si>
  <si>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</si>
  <si>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</si>
  <si>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</si>
  <si>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</si>
  <si>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</si>
  <si>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</si>
  <si>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</si>
  <si>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</si>
  <si>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</si>
  <si>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</si>
  <si>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</si>
  <si>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</si>
  <si>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</si>
  <si>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</si>
  <si>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</si>
  <si>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</si>
  <si>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</si>
  <si>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</si>
  <si>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</si>
  <si>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</si>
  <si>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</si>
  <si>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</si>
  <si>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</si>
  <si>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</si>
  <si>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</si>
  <si>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</si>
  <si>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</si>
  <si>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</si>
  <si>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</si>
  <si>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</si>
  <si>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</si>
  <si>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</si>
  <si>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</si>
  <si>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</si>
  <si>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</si>
  <si>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</si>
  <si>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</si>
  <si>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</si>
  <si>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</si>
  <si>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</si>
  <si>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</si>
  <si>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</si>
  <si>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</si>
  <si>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</si>
  <si>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</si>
  <si>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</si>
  <si>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</si>
  <si>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</si>
  <si>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</si>
  <si>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</si>
  <si>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</si>
  <si>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</si>
  <si>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</si>
  <si>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</si>
  <si>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</si>
  <si>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</si>
  <si>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</si>
  <si>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</si>
  <si>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</si>
  <si>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</si>
  <si>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</si>
  <si>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</si>
  <si>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</si>
  <si>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</si>
  <si>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</si>
  <si>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</si>
  <si>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</si>
  <si>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</si>
  <si>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</si>
  <si>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</si>
  <si>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</si>
  <si>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</si>
  <si>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</si>
  <si>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</si>
  <si>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</si>
  <si>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</si>
  <si>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</si>
  <si>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</si>
  <si>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</si>
  <si>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POZOBLANCO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</si>
</sst>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YOoyiJYhu/ZCW73+GfmGNEC1frH819oAedWcz3mWq7vdotWjoOLyqpwTI+T1xo4FSpvMMwaWUIzPmckJV2nuA==" saltValue="Tj4sgGFvaKUpSPFG0Gyk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POZOBLANCO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5</v>
      </c>
      <c r="F10" s="404">
        <f>IF(ISNUMBER(E10/B10),E10/B10," - ")</f>
        <v>5</v>
      </c>
      <c r="G10" s="403">
        <f>IF(ISNUMBER(Datos!K10),Datos!K10," - ")</f>
        <v>4</v>
      </c>
      <c r="H10" s="404">
        <f>IF(ISNUMBER(G10/B10),G10/B10," - ")</f>
        <v>4</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869</v>
      </c>
      <c r="D12" s="404">
        <f>IF(ISNUMBER(C12/Datos!BH12),C12/Datos!BH12," - ")</f>
        <v>434.5</v>
      </c>
      <c r="E12" s="403">
        <f>IF(ISNUMBER(IF(J_V="SI",Datos!J12,Datos!J12+Datos!Z12)),IF(J_V="SI",Datos!J12,Datos!J12+Datos!Z12)," - ")</f>
        <v>240</v>
      </c>
      <c r="F12" s="404">
        <f>IF(ISNUMBER(E12/B12),E12/B12," - ")</f>
        <v>120</v>
      </c>
      <c r="G12" s="403">
        <f>IF(ISNUMBER(IF(J_V="SI",Datos!K12,Datos!K12+Datos!AA12)),IF(J_V="SI",Datos!K12,Datos!K12+Datos!AA12)," - ")</f>
        <v>277</v>
      </c>
      <c r="H12" s="404">
        <f>IF(ISNUMBER(G12/B12),G12/B12," - ")</f>
        <v>138.5</v>
      </c>
      <c r="I12" s="403">
        <f>IF(ISNUMBER(IF(J_V="SI",Datos!L12,Datos!L12+Datos!AB12)),IF(J_V="SI",Datos!L12,Datos!L12+Datos!AB12)," - ")</f>
        <v>832</v>
      </c>
      <c r="J12" s="404">
        <f>IF(ISNUMBER(I12/B12),I12/B12," - ")</f>
        <v>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892</v>
      </c>
      <c r="D13" s="850" t="str">
        <f>IF(ISNUMBER(C13/Datos!BI13),C13/Datos!BI13," - ")</f>
        <v xml:space="preserve"> - </v>
      </c>
      <c r="E13" s="849">
        <f>SUBTOTAL(9,E8:E12)</f>
        <v>245</v>
      </c>
      <c r="F13" s="850">
        <f>IF(ISNUMBER(E13/B13),E13/B13," - ")</f>
        <v>122.5</v>
      </c>
      <c r="G13" s="849">
        <f>SUBTOTAL(9,G8:G12)</f>
        <v>281</v>
      </c>
      <c r="H13" s="850">
        <f>IF(ISNUMBER(G13/B13),G13/B13," - ")</f>
        <v>140.5</v>
      </c>
      <c r="I13" s="849">
        <f>SUBTOTAL(9,I8:I12)</f>
        <v>856</v>
      </c>
      <c r="J13" s="850">
        <f>IF(ISNUMBER(I13/B13),I13/B13," - ")</f>
        <v>428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417</v>
      </c>
      <c r="D16" s="404">
        <f>IF(ISNUMBER(C16/Datos!BH16),C16/Datos!BH16," - ")</f>
        <v>208.5</v>
      </c>
      <c r="E16" s="403">
        <f>IF(ISNUMBER(IF(D_I="SI",Datos!J16,Datos!J16+Datos!AD16)),IF(D_I="SI",Datos!J16,Datos!J16+Datos!AD16)," - ")</f>
        <v>325</v>
      </c>
      <c r="F16" s="404">
        <f>IF(ISNUMBER(E16/B16),E16/B16," - ")</f>
        <v>162.5</v>
      </c>
      <c r="G16" s="403">
        <f>IF(ISNUMBER(IF(D_I="SI",Datos!K16,Datos!K16+Datos!AE16)),IF(D_I="SI",Datos!K16,Datos!K16+Datos!AE16)," - ")</f>
        <v>448</v>
      </c>
      <c r="H16" s="404">
        <f>IF(ISNUMBER(G16/B16),G16/B16," - ")</f>
        <v>224</v>
      </c>
      <c r="I16" s="403">
        <f>IF(ISNUMBER(IF(D_I="SI",Datos!L16,Datos!L16+Datos!AF16)),IF(D_I="SI",Datos!L16,Datos!L16+Datos!AF16)," - ")</f>
        <v>294</v>
      </c>
      <c r="J16" s="404">
        <f>IF(ISNUMBER(I16/B16),I16/B16," - ")</f>
        <v>147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19</v>
      </c>
      <c r="F17" s="404">
        <f>IF(ISNUMBER(E17/B17),E17/B17," - ")</f>
        <v>19</v>
      </c>
      <c r="G17" s="403">
        <f>IF(ISNUMBER(IF(D_I="SI",Datos!K17,Datos!K17+Datos!AE17)),IF(D_I="SI",Datos!K17,Datos!K17+Datos!AE17)," - ")</f>
        <v>29</v>
      </c>
      <c r="H17" s="404">
        <f>IF(ISNUMBER(G17/B17),G17/B17," - ")</f>
        <v>29</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445</v>
      </c>
      <c r="D18" s="850" t="str">
        <f>IF(ISNUMBER(C18/Datos!BI18),C18/Datos!BI18," - ")</f>
        <v xml:space="preserve"> - </v>
      </c>
      <c r="E18" s="849">
        <f>SUBTOTAL(9,E14:E17)</f>
        <v>344</v>
      </c>
      <c r="F18" s="850">
        <f>IF(ISNUMBER(E18/B18),E18/B18," - ")</f>
        <v>172</v>
      </c>
      <c r="G18" s="849">
        <f>SUBTOTAL(9,G14:G17)</f>
        <v>477</v>
      </c>
      <c r="H18" s="850">
        <f>IF(ISNUMBER(G18/B18),G18/B18," - ")</f>
        <v>238.5</v>
      </c>
      <c r="I18" s="849">
        <f>SUBTOTAL(9,I14:I17)</f>
        <v>312</v>
      </c>
      <c r="J18" s="850">
        <f>IF(ISNUMBER(I18/B18),I18/B18," - ")</f>
        <v>156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1337</v>
      </c>
      <c r="D19" s="795" t="str">
        <f>IF(ISNUMBER(C19/Datos!BI19),C19/Datos!BI19," - ")</f>
        <v xml:space="preserve"> - </v>
      </c>
      <c r="E19" s="794">
        <f>SUBTOTAL(9,E9:E18)</f>
        <v>589</v>
      </c>
      <c r="F19" s="795">
        <f>IF(ISNUMBER(E19/B19),E19/B19," - ")</f>
        <v>294.5</v>
      </c>
      <c r="G19" s="794">
        <f>SUBTOTAL(9,G9:G18)</f>
        <v>758</v>
      </c>
      <c r="H19" s="795">
        <f>IF(ISNUMBER(G19/B19),G19/B19," - ")</f>
        <v>379</v>
      </c>
      <c r="I19" s="794">
        <f>SUBTOTAL(9,I9:I18)</f>
        <v>1168</v>
      </c>
      <c r="J19" s="795">
        <f>IF(ISNUMBER(I19/B19),I19/B19," - ")</f>
        <v>584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FaZ+StxNdhEpt0YNG4cJDHMrbrLhBcyJjYflBMPJiDcgUGC6qpW1Fp0IbeAjiQp0/MMZyuRHQntTbThCg/LNw==" saltValue="n8UPqJz3abxFDcXfq6dH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POZOBLANCO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Ikov5wS5vW0x5d32pEHpJhL3gcLKkVv50O7+EXMPq9nJ21bExubwXnCUTH6hrUx9NVm0syR5ENA5OfcGYf6hQ==" saltValue="iP2WO4k3KdZnis5jWwjE0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POZOBLANCO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73</v>
      </c>
      <c r="E12" s="404">
        <f t="shared" si="0"/>
        <v>36.5</v>
      </c>
      <c r="F12" s="403">
        <f>IF(ISNUMBER(Datos!N12),Datos!N12," - ")</f>
        <v>84</v>
      </c>
      <c r="G12" s="404">
        <f t="shared" si="1"/>
        <v>42</v>
      </c>
      <c r="H12" s="403">
        <f>IF(ISNUMBER(Datos!O12),Datos!O12," - ")</f>
        <v>121</v>
      </c>
      <c r="I12" s="404">
        <f t="shared" si="2"/>
        <v>60.5</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84</v>
      </c>
      <c r="G13" s="850">
        <f t="shared" si="1"/>
        <v>42</v>
      </c>
      <c r="H13" s="849">
        <f>SUBTOTAL(9,H9:H12)</f>
        <v>121</v>
      </c>
      <c r="I13" s="850">
        <f>IF(ISNUMBER(H13/B13),H13/B13," - ")</f>
        <v>60.5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318</v>
      </c>
      <c r="G16" s="404">
        <f t="shared" si="4"/>
        <v>159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328</v>
      </c>
      <c r="G18" s="850">
        <f t="shared" si="4"/>
        <v>164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116</v>
      </c>
      <c r="E19" s="795">
        <f>IF(ISNUMBER(D19/B19),D19/B19," - ")</f>
        <v>58</v>
      </c>
      <c r="F19" s="794">
        <f>SUBTOTAL(9,F8:F18)</f>
        <v>412</v>
      </c>
      <c r="G19" s="795">
        <f>IF(ISNUMBER(F19/B19),F19/B19," - ")</f>
        <v>206</v>
      </c>
      <c r="H19" s="794">
        <f>SUBTOTAL(9,H8:H18)</f>
        <v>121</v>
      </c>
      <c r="I19" s="795">
        <f>IF(ISNUMBER(H19/B19),H19/B19," - ")</f>
        <v>60.5</v>
      </c>
    </row>
    <row r="22" spans="1:78">
      <c r="A22" s="391" t="str">
        <f>Criterios!A4</f>
        <v>Fecha Informe: 27 feb. 2025</v>
      </c>
    </row>
    <row r="27" spans="1:78">
      <c r="A27" s="414"/>
    </row>
  </sheetData>
  <sheetProtection algorithmName="SHA-512" hashValue="c7CqPCSGT1w1BCPTgmBlamQvuA6I+kNGNz+VAGBioKe5Rrc7Dvj3LGJ6zUDSDfIGLAS91oAYs7z7TMz/6pdQlQ==" saltValue="p9jQ7CW58FrIyrqY4wQv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POZOBLANCO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13</v>
      </c>
      <c r="D12" s="408">
        <f>IF(ISNUMBER(Datos!R12),Datos!R12," - ")</f>
        <v>1219</v>
      </c>
    </row>
    <row r="13" spans="1:4" ht="14.25" thickTop="1" thickBot="1">
      <c r="A13" s="848" t="str">
        <f>Datos!A13</f>
        <v>TOTAL</v>
      </c>
      <c r="B13" s="849">
        <f>SUBTOTAL(9,B9:B12)</f>
        <v>75</v>
      </c>
      <c r="C13" s="853">
        <f>SUBTOTAL(9,C9:C12)</f>
        <v>13</v>
      </c>
      <c r="D13" s="851">
        <f>SUBTOTAL(9,D9:D12)</f>
        <v>1221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14</v>
      </c>
      <c r="D16" s="408">
        <f>IF(ISNUMBER(Datos!R16),Datos!R16," - ")</f>
        <v>34</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7</v>
      </c>
      <c r="C18" s="853">
        <f>SUBTOTAL(9,C15:C17)</f>
        <v>15</v>
      </c>
      <c r="D18" s="851">
        <f>SUBTOTAL(9,D15:D17)</f>
        <v>34</v>
      </c>
    </row>
    <row r="19" spans="1:4" ht="16.5" customHeight="1" thickTop="1" thickBot="1">
      <c r="A19" s="793" t="str">
        <f>Datos!A19</f>
        <v>TOTAL JURISDICCIONES</v>
      </c>
      <c r="B19" s="798">
        <f>SUBTOTAL(9,B8:B18)</f>
        <v>82</v>
      </c>
      <c r="C19" s="799">
        <f>SUBTOTAL(9,C8:C18)</f>
        <v>28</v>
      </c>
      <c r="D19" s="800">
        <f>SUBTOTAL(9,D8:D18)</f>
        <v>1255</v>
      </c>
    </row>
    <row r="20" spans="1:4" ht="7.5" customHeight="1"/>
    <row r="21" spans="1:4" ht="6" customHeight="1"/>
    <row r="22" spans="1:4">
      <c r="A22" s="391" t="str">
        <f>Criterios!A4</f>
        <v>Fecha Informe: 27 feb. 2025</v>
      </c>
    </row>
    <row r="27" spans="1:4">
      <c r="A27" s="414"/>
    </row>
  </sheetData>
  <sheetProtection algorithmName="SHA-512" hashValue="5dlDSkn8KIcVC4KOmR/Jhx7DqynimakdHVPVmq5g5KnBdlVyrZvqPZ35OMx1YGBTD8nm1yQEtKJ1H2czdCuYxg==" saltValue="tDme94Trv/6gIIrc/fWo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POZOBLANCO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v>
      </c>
      <c r="C10" s="456">
        <f>IF(ISNUMBER((Datos!J10-Datos!T10)/Datos!T10),(Datos!J10-Datos!T10)/Datos!T10," - ")</f>
        <v>-0.16666666666666666</v>
      </c>
      <c r="D10" s="456">
        <f>IF(ISNUMBER((Datos!K10-Datos!U10)/Datos!U10),(Datos!K10-Datos!U10)/Datos!U10," - ")</f>
        <v>3</v>
      </c>
      <c r="E10" s="456">
        <f>IF(ISNUMBER((Datos!L10-Datos!V10)/Datos!V10),(Datos!L10-Datos!V10)/Datos!V10," - ")</f>
        <v>0.6</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3.8000000000000007</v>
      </c>
      <c r="I10" s="456">
        <f>IF(ISNUMBER(((NºAsuntos!I10/NºAsuntos!G10)-Datos!BE10)/Datos!BE10),((NºAsuntos!I10/NºAsuntos!G10)-Datos!BE10)/Datos!BE10," - ")</f>
        <v>-0.6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-2.6875699888017916E-2</v>
      </c>
      <c r="C12" s="456">
        <f>IF(ISNUMBER(
   IF(J_V="SI",(Datos!J12-Datos!T12)/Datos!T12,(Datos!J12+Datos!Z12-(Datos!T12+Datos!AH12))/(Datos!T12+Datos!AH12))
     ),IF(J_V="SI",(Datos!J12-Datos!T12)/Datos!T12,(Datos!J12+Datos!Z12-(Datos!T12+Datos!AH12))/(Datos!T12+Datos!AH12))," - ")</f>
        <v>0.15384615384615385</v>
      </c>
      <c r="D12" s="456">
        <f>IF(ISNUMBER(
   IF(J_V="SI",(Datos!K12-Datos!U12)/Datos!U12,(Datos!K12+Datos!AA12-(Datos!U12+Datos!AI12))/(Datos!U12+Datos!AI12))
     ),IF(J_V="SI",(Datos!K12-Datos!U12)/Datos!U12,(Datos!K12+Datos!AA12-(Datos!U12+Datos!AI12))/(Datos!U12+Datos!AI12))," - ")</f>
        <v>-7.1684587813620072E-3</v>
      </c>
      <c r="E12" s="456">
        <f>IF(ISNUMBER(
   IF(J_V="SI",(Datos!L12-Datos!V12)/Datos!V12,(Datos!L12+Datos!AB12-(Datos!V12+Datos!AJ12))/(Datos!V12+Datos!AJ12))
     ),IF(J_V="SI",(Datos!L12-Datos!V12)/Datos!V12,(Datos!L12+Datos!AB12-(Datos!V12+Datos!AJ12))/(Datos!V12+Datos!AJ12))," - ")</f>
        <v>1.2165450121654502E-2</v>
      </c>
      <c r="F12" s="456">
        <f>IF(ISNUMBER((Datos!M12-Datos!W12)/Datos!W12),(Datos!M12-Datos!W12)/Datos!W12," - ")</f>
        <v>0.30357142857142855</v>
      </c>
      <c r="G12" s="457">
        <f>IF(ISNUMBER((Datos!N12-Datos!X12)/Datos!X12),(Datos!N12-Datos!X12)/Datos!X12," - ")</f>
        <v>-0.125</v>
      </c>
      <c r="H12" s="455">
        <f>IF(ISNUMBER(((NºAsuntos!G12/NºAsuntos!E12)-Datos!BD12)/Datos!BD12),((NºAsuntos!G12/NºAsuntos!E12)-Datos!BD12)/Datos!BD12," - ")</f>
        <v>-0.13954599761051376</v>
      </c>
      <c r="I12" s="456">
        <f>IF(ISNUMBER(((NºAsuntos!I12/NºAsuntos!G12)-Datos!BE12)/Datos!BE12),((NºAsuntos!I12/NºAsuntos!G12)-Datos!BE12)/Datos!BE12," - ")</f>
        <v>1.9473503913146593E-2</v>
      </c>
      <c r="J12" s="461">
        <f>IF(ISNUMBER((('Resol  Asuntos'!D12/NºAsuntos!G12)-Datos!BF12)/Datos!BF12),(('Resol  Asuntos'!D12/NºAsuntos!G12)-Datos!BF12)/Datos!BF12," - ")</f>
        <v>-0.23409296028880866</v>
      </c>
      <c r="K12" s="462">
        <f>IF(ISNUMBER((((NºAsuntos!C12+NºAsuntos!E12)/NºAsuntos!G12)-Datos!BG12)/Datos!BG12),(((NºAsuntos!C12+NºAsuntos!E12)/NºAsuntos!G12)-Datos!BG12)/Datos!BG12," - ")</f>
        <v>1.4538801286654404E-2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-1.2181616832779624E-2</v>
      </c>
      <c r="C13" s="855">
        <f>IF(ISNUMBER(
   IF(J_V="SI",(Datos!J13-Datos!T13)/Datos!T13,(Datos!J13+Datos!Z13-(Datos!T13+Datos!AH13))/(Datos!T13+Datos!AH13))
     ),IF(J_V="SI",(Datos!J13-Datos!T13)/Datos!T13,(Datos!J13+Datos!Z13-(Datos!T13+Datos!AH13))/(Datos!T13+Datos!AH13))," - ")</f>
        <v>0.14485981308411214</v>
      </c>
      <c r="D13" s="855">
        <f>IF(ISNUMBER(
   IF(J_V="SI",(Datos!K13-Datos!U13)/Datos!U13,(Datos!K13+Datos!AA13-(Datos!U13+Datos!AI13))/(Datos!U13+Datos!AI13))
     ),IF(J_V="SI",(Datos!K13-Datos!U13)/Datos!U13,(Datos!K13+Datos!AA13-(Datos!U13+Datos!AI13))/(Datos!U13+Datos!AI13))," - ")</f>
        <v>3.5714285714285713E-3</v>
      </c>
      <c r="E13" s="855">
        <f>IF(ISNUMBER(
   IF(J_V="SI",(Datos!L13-Datos!V13)/Datos!V13,(Datos!L13+Datos!AB13-(Datos!V13+Datos!AJ13))/(Datos!V13+Datos!AJ13))
     ),IF(J_V="SI",(Datos!L13-Datos!V13)/Datos!V13,(Datos!L13+Datos!AB13-(Datos!V13+Datos!AJ13))/(Datos!V13+Datos!AJ13))," - ")</f>
        <v>2.2700119474313024E-2</v>
      </c>
      <c r="F13" s="856">
        <f>IF(ISNUMBER((Datos!M13-Datos!W13)/Datos!W13),(Datos!M13-Datos!W13)/Datos!W13," - ")</f>
        <v>0.3392857142857143</v>
      </c>
      <c r="G13" s="857">
        <f>IF(ISNUMBER((Datos!N13-Datos!X13)/Datos!X13),(Datos!N13-Datos!X13)/Datos!X13," - ")</f>
        <v>-0.13402061855670103</v>
      </c>
      <c r="H13" s="857">
        <f>IF(ISNUMBER(((NºAsuntos!G13/NºAsuntos!E13)-Datos!BD13)/Datos!BD13),((NºAsuntos!G13/NºAsuntos!E13)-Datos!BD13)/Datos!BD13," - ")</f>
        <v>-0.12341107871720113</v>
      </c>
      <c r="I13" s="857">
        <f>IF(ISNUMBER(((NºAsuntos!I13/NºAsuntos!G13)-Datos!BE13)/Datos!BE13),((NºAsuntos!I13/NºAsuntos!G13)-Datos!BE13)/Datos!BE13," - ")</f>
        <v>1.9060617269778077E-2</v>
      </c>
      <c r="J13" s="857">
        <f>IF(ISNUMBER((('Resol  Asuntos'!D13/NºAsuntos!G13)-Datos!BF13)/Datos!BF13),(('Resol  Asuntos'!D13/NºAsuntos!G13)-Datos!BF13)/Datos!BF13," - ")</f>
        <v>-0.22153024911032038</v>
      </c>
      <c r="K13" s="857">
        <f>IF(ISNUMBER((((NºAsuntos!C13+NºAsuntos!E13)/NºAsuntos!G13)-Datos!BG13)/Datos!BG13),(((NºAsuntos!C13+NºAsuntos!E13)/NºAsuntos!G13)-Datos!BG13)/Datos!BG13," - ")</f>
        <v>1.4282664865536481E-2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2.9629629629629631E-2</v>
      </c>
      <c r="C16" s="456">
        <f>IF(ISNUMBER(
   IF(D_I="SI",(Datos!J16-Datos!T16)/Datos!T16,(Datos!J16+Datos!AD16-(Datos!T16+Datos!AL16))/(Datos!T16+Datos!AL16))
     ),IF(D_I="SI",(Datos!J16-Datos!T16)/Datos!T16,(Datos!J16+Datos!AD16-(Datos!T16+Datos!AL16))/(Datos!T16+Datos!AL16))," - ")</f>
        <v>-0.11684782608695653</v>
      </c>
      <c r="D16" s="456">
        <f>IF(ISNUMBER(
   IF(D_I="SI",(Datos!K16-Datos!U16)/Datos!U16,(Datos!K16+Datos!AE16-(Datos!U16+Datos!AM16))/(Datos!U16+Datos!AM16))
     ),IF(D_I="SI",(Datos!K16-Datos!U16)/Datos!U16,(Datos!K16+Datos!AE16-(Datos!U16+Datos!AM16))/(Datos!U16+Datos!AM16))," - ")</f>
        <v>8.7378640776699032E-2</v>
      </c>
      <c r="E16" s="456">
        <f>IF(ISNUMBER(
   IF(D_I="SI",(Datos!L16-Datos!V16)/Datos!V16,(Datos!L16+Datos!AF16-(Datos!V16+Datos!AN16))/(Datos!V16+Datos!AN16))
     ),IF(D_I="SI",(Datos!L16-Datos!V16)/Datos!V16,(Datos!L16+Datos!AF16-(Datos!V16+Datos!AN16))/(Datos!V16+Datos!AN16))," - ")</f>
        <v>-0.18559556786703602</v>
      </c>
      <c r="F16" s="456">
        <f>IF(ISNUMBER((Datos!M16-Datos!W16)/Datos!W16),(Datos!M16-Datos!W16)/Datos!W16," - ")</f>
        <v>-0.13333333333333333</v>
      </c>
      <c r="G16" s="457">
        <f>IF(ISNUMBER((Datos!N16-Datos!X16)/Datos!X16),(Datos!N16-Datos!X16)/Datos!X16," - ")</f>
        <v>8.9041095890410954E-2</v>
      </c>
      <c r="H16" s="455">
        <f>IF(ISNUMBER(((NºAsuntos!G16/NºAsuntos!E16)-Datos!BD16)/Datos!BD16),((NºAsuntos!G16/NºAsuntos!E16)-Datos!BD16)/Datos!BD16," - ")</f>
        <v>0.23124719940253907</v>
      </c>
      <c r="I16" s="456">
        <f>IF(ISNUMBER(((NºAsuntos!I16/NºAsuntos!G16)-Datos!BE16)/Datos!BE16),((NºAsuntos!I16/NºAsuntos!G16)-Datos!BE16)/Datos!BE16," - ")</f>
        <v>-0.25103878116343498</v>
      </c>
      <c r="J16" s="461">
        <f>IF(ISNUMBER((('Resol  Asuntos'!D16/NºAsuntos!G16)-Datos!BF16)/Datos!BF16),(('Resol  Asuntos'!D16/NºAsuntos!G16)-Datos!BF16)/Datos!BF16," - ")</f>
        <v>-0.20297619047619045</v>
      </c>
      <c r="K16" s="462">
        <f>IF(ISNUMBER((((NºAsuntos!C16+NºAsuntos!E16)/NºAsuntos!G16)-Datos!BG16)/Datos!BG16),(((NºAsuntos!C16+NºAsuntos!E16)/NºAsuntos!G16)-Datos!BG16)/Datos!BG16," - ")</f>
        <v>-0.11723803363518756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0.31818181818181818</v>
      </c>
      <c r="E17" s="456">
        <f>IF(ISNUMBER(
   IF(D_I="SI",(Datos!L17-Datos!V17)/Datos!V17,(Datos!L17+Datos!AF17-(Datos!V17+Datos!AN17))/(Datos!V17+Datos!AN17))
     ),IF(D_I="SI",(Datos!L17-Datos!V17)/Datos!V17,(Datos!L17+Datos!AF17-(Datos!V17+Datos!AN17))/(Datos!V17+Datos!AN17))," - ")</f>
        <v>-0.41935483870967744</v>
      </c>
      <c r="F17" s="456">
        <f>IF(ISNUMBER((Datos!M17-Datos!W17)/Datos!W17),(Datos!M17-Datos!W17)/Datos!W17," - ")</f>
        <v>1</v>
      </c>
      <c r="G17" s="457">
        <f>IF(ISNUMBER((Datos!N17-Datos!X17)/Datos!X17),(Datos!N17-Datos!X17)/Datos!X17," - ")</f>
        <v>-0.16666666666666666</v>
      </c>
      <c r="H17" s="455">
        <f>IF(ISNUMBER(((NºAsuntos!G17/NºAsuntos!E17)-Datos!BD17)/Datos!BD17),((NºAsuntos!G17/NºAsuntos!E17)-Datos!BD17)/Datos!BD17," - ")</f>
        <v>0.31818181818181818</v>
      </c>
      <c r="I17" s="456">
        <f>IF(ISNUMBER(((NºAsuntos!I17/NºAsuntos!G17)-Datos!BE17)/Datos!BE17),((NºAsuntos!I17/NºAsuntos!G17)-Datos!BE17)/Datos!BE17," - ")</f>
        <v>-0.55951056729699666</v>
      </c>
      <c r="J17" s="461">
        <f>IF(ISNUMBER((('Resol  Asuntos'!D17/NºAsuntos!G17)-Datos!BF17)/Datos!BF17),(('Resol  Asuntos'!D17/NºAsuntos!G17)-Datos!BF17)/Datos!BF17," - ")</f>
        <v>0.51724137931034475</v>
      </c>
      <c r="K17" s="462">
        <f>IF(ISNUMBER((((NºAsuntos!C17+NºAsuntos!E17)/NºAsuntos!G17)-Datos!BG17)/Datos!BG17),(((NºAsuntos!C17+NºAsuntos!E17)/NºAsuntos!G17)-Datos!BG17)/Datos!BG17," - ")</f>
        <v>-0.32726089785296036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1.366742596810934E-2</v>
      </c>
      <c r="C18" s="855">
        <f>IF(ISNUMBER(
   IF(Criterios!B14="SI",(Datos!J18-Datos!T18)/Datos!T18,(Datos!J18+Datos!AD18-(Datos!T18+Datos!AL18))/(Datos!T18+Datos!AL18))
     ),IF(Criterios!B14="SI",(Datos!J18-Datos!T18)/Datos!T18,(Datos!J18+Datos!AD18-(Datos!T18+Datos!AL18))/(Datos!T18+Datos!AL18))," - ")</f>
        <v>-0.1111111111111111</v>
      </c>
      <c r="D18" s="855">
        <f>IF(ISNUMBER(
   IF(Criterios!B14="SI",(Datos!K18-Datos!U18)/Datos!U18,(Datos!K18+Datos!AE18-(Datos!U18+Datos!AM18))/(Datos!U18+Datos!AM18))
     ),IF(Criterios!B14="SI",(Datos!K18-Datos!U18)/Datos!U18,(Datos!K18+Datos!AE18-(Datos!U18+Datos!AM18))/(Datos!U18+Datos!AM18))," - ")</f>
        <v>9.9078341013824886E-2</v>
      </c>
      <c r="E18" s="855">
        <f>IF(ISNUMBER(
   IF(Criterios!B14="SI",(Datos!L18-Datos!V18)/Datos!V18,(Datos!L18+Datos!AF18-(Datos!V18+Datos!AN18))/(Datos!V18+Datos!AN18))
     ),IF(Criterios!B14="SI",(Datos!L18-Datos!V18)/Datos!V18,(Datos!L18+Datos!AF18-(Datos!V18+Datos!AN18))/(Datos!V18+Datos!AN18))," - ")</f>
        <v>-0.20408163265306123</v>
      </c>
      <c r="F18" s="856">
        <f>IF(ISNUMBER((Datos!M18-Datos!W18)/Datos!W18),(Datos!M18-Datos!W18)/Datos!W18," - ")</f>
        <v>-0.10869565217391304</v>
      </c>
      <c r="G18" s="857">
        <f>IF(ISNUMBER((Datos!N18-Datos!X18)/Datos!X18),(Datos!N18-Datos!X18)/Datos!X18," - ")</f>
        <v>7.8947368421052627E-2</v>
      </c>
      <c r="H18" s="857">
        <f>IF(ISNUMBER(((NºAsuntos!G18/NºAsuntos!E18)-Datos!BD18)/Datos!BD18),((NºAsuntos!G18/NºAsuntos!E18)-Datos!BD18)/Datos!BD18," - ")</f>
        <v>0.2364631336405531</v>
      </c>
      <c r="I18" s="857">
        <f>IF(ISNUMBER(((NºAsuntos!I18/NºAsuntos!G18)-Datos!BE18)/Datos!BE18),((NºAsuntos!I18/NºAsuntos!G18)-Datos!BE18)/Datos!BE18," - ")</f>
        <v>-0.2758310871518419</v>
      </c>
      <c r="J18" s="857">
        <f>IF(ISNUMBER((('Resol  Asuntos'!D18/NºAsuntos!G18)-Datos!BF18)/Datos!BF18),(('Resol  Asuntos'!D18/NºAsuntos!G18)-Datos!BF18)/Datos!BF18," - ")</f>
        <v>-0.189043842858445</v>
      </c>
      <c r="K18" s="857">
        <f>IF(ISNUMBER((((NºAsuntos!C18+NºAsuntos!E18)/NºAsuntos!G18)-Datos!BG18)/Datos!BG18),(((NºAsuntos!C18+NºAsuntos!E18)/NºAsuntos!G18)-Datos!BG18)/Datos!BG18," - ")</f>
        <v>-0.13090288881782325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-3.7257824143070045E-3</v>
      </c>
      <c r="C19" s="802">
        <f>IF(ISNUMBER(
   IF(J_V="SI",(Datos!J19-Datos!T19)/Datos!T19,(Datos!J19+Datos!Z19-(Datos!T19+Datos!AH19))/(Datos!T19+Datos!AH19))
     ),IF(J_V="SI",(Datos!J19-Datos!T19)/Datos!T19,(Datos!J19+Datos!Z19-(Datos!T19+Datos!AH19))/(Datos!T19+Datos!AH19))," - ")</f>
        <v>-1.9966722129783693E-2</v>
      </c>
      <c r="D19" s="802">
        <f>IF(ISNUMBER(
   IF(J_V="SI",(Datos!K19-Datos!U19)/Datos!U19,(Datos!K19+Datos!AA19-(Datos!U19+Datos!AI19))/(Datos!U19+Datos!AI19))
     ),IF(J_V="SI",(Datos!K19-Datos!U19)/Datos!U19,(Datos!K19+Datos!AA19-(Datos!U19+Datos!AI19))/(Datos!U19+Datos!AI19))," - ")</f>
        <v>6.1624649859943981E-2</v>
      </c>
      <c r="E19" s="802">
        <f>IF(ISNUMBER(
   IF(J_V="SI",(Datos!L19-Datos!V19)/Datos!V19,(Datos!L19+Datos!AB19-(Datos!V19+Datos!AJ19))/(Datos!V19+Datos!AJ19))
     ),IF(J_V="SI",(Datos!L19-Datos!V19)/Datos!V19,(Datos!L19+Datos!AB19-(Datos!V19+Datos!AJ19))/(Datos!V19+Datos!AJ19))," - ")</f>
        <v>-4.9633848657445079E-2</v>
      </c>
      <c r="F19" s="803">
        <f>IF(ISNUMBER((Datos!M19-Datos!W19)/Datos!W19),(Datos!M19-Datos!W19)/Datos!W19," - ")</f>
        <v>0.13725490196078433</v>
      </c>
      <c r="G19" s="804">
        <f>IF(ISNUMBER((Datos!N19-Datos!X19)/Datos!X19),(Datos!N19-Datos!X19)/Datos!X19," - ")</f>
        <v>2.7431421446384038E-2</v>
      </c>
      <c r="H19" s="805">
        <f>IF(ISNUMBER((Tasas!B19-Datos!BD19)/Datos!BD19),(Tasas!B19-Datos!BD19)/Datos!BD19," - ")</f>
        <v>8.3253674984424902E-2</v>
      </c>
      <c r="I19" s="806">
        <f>IF(ISNUMBER((Tasas!C19-Datos!BE19)/Datos!BE19),(Tasas!C19-Datos!BE19)/Datos!BE19," - ")</f>
        <v>-0.1048002215585961</v>
      </c>
      <c r="J19" s="807">
        <f>IF(ISNUMBER((Tasas!D19-Datos!BF19)/Datos!BF19),(Tasas!D19-Datos!BF19)/Datos!BF19," - ")</f>
        <v>-0.23051767066780629</v>
      </c>
      <c r="K19" s="807">
        <f>IF(ISNUMBER((Tasas!E19-Datos!BG19)/Datos!BG19),(Tasas!E19-Datos!BG19)/Datos!BG19," - ")</f>
        <v>-6.6288971845349765E-2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NAofl1xreHtEzp0HBdVxnu1amUvWgEoPpv1qRwvSJMj/1PQtyWPXk2jQAkUHWihZCIM/7zb3ZKKcWDFKcZ/kw==" saltValue="KpyUhTWFQjP/TSkeb+L3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POZOBLANCO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6</v>
      </c>
      <c r="D10" s="444">
        <f>IF(ISNUMBER('Resol  Asuntos'!D10/NºAsuntos!G10),'Resol  Asuntos'!D10/NºAsuntos!G10," - ")</f>
        <v>0.5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1.1541666666666666</v>
      </c>
      <c r="C12" s="443">
        <f>IF(ISNUMBER(NºAsuntos!I12/NºAsuntos!G12),NºAsuntos!I12/NºAsuntos!G12," - ")</f>
        <v>3.0036101083032491</v>
      </c>
      <c r="D12" s="444">
        <f>IF(ISNUMBER('Resol  Asuntos'!D12/NºAsuntos!G12),'Resol  Asuntos'!D12/NºAsuntos!G12," - ")</f>
        <v>0.26353790613718414</v>
      </c>
      <c r="E12" s="445">
        <f>IF(ISNUMBER((NºAsuntos!C12+NºAsuntos!E12)/NºAsuntos!G12),(NºAsuntos!C12+NºAsuntos!E12)/NºAsuntos!G12," - ")</f>
        <v>4.0036101083032491</v>
      </c>
      <c r="G12" s="463"/>
    </row>
    <row r="13" spans="1:7" ht="14.25" thickTop="1" thickBot="1">
      <c r="A13" s="848" t="str">
        <f>Datos!A13</f>
        <v>TOTAL</v>
      </c>
      <c r="B13" s="858">
        <f>IF(ISNUMBER(NºAsuntos!G13/NºAsuntos!E13),NºAsuntos!G13/NºAsuntos!E13," - ")</f>
        <v>1.1469387755102041</v>
      </c>
      <c r="C13" s="859">
        <f>IF(ISNUMBER(NºAsuntos!I13/NºAsuntos!G13),NºAsuntos!I13/NºAsuntos!G13," - ")</f>
        <v>3.0462633451957295</v>
      </c>
      <c r="D13" s="860">
        <f>IF(ISNUMBER('Resol  Asuntos'!D13/NºAsuntos!G13),'Resol  Asuntos'!D13/NºAsuntos!G13," - ")</f>
        <v>0.2669039145907473</v>
      </c>
      <c r="E13" s="861">
        <f>IF(ISNUMBER((NºAsuntos!C13+NºAsuntos!E13)/NºAsuntos!G13),(NºAsuntos!C13+NºAsuntos!E13)/NºAsuntos!G13," - ")</f>
        <v>4.0462633451957295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1.3784615384615384</v>
      </c>
      <c r="C16" s="443">
        <f>IF(ISNUMBER(NºAsuntos!I16/NºAsuntos!G16),NºAsuntos!I16/NºAsuntos!G16," - ")</f>
        <v>0.65625</v>
      </c>
      <c r="D16" s="444">
        <f>IF(ISNUMBER('Resol  Asuntos'!D16/NºAsuntos!G16),'Resol  Asuntos'!D16/NºAsuntos!G16," - ")</f>
        <v>8.7053571428571425E-2</v>
      </c>
      <c r="E16" s="445">
        <f>IF(ISNUMBER((NºAsuntos!C16+NºAsuntos!E16)/NºAsuntos!G16),(NºAsuntos!C16+NºAsuntos!E16)/NºAsuntos!G16," - ")</f>
        <v>1.65625</v>
      </c>
      <c r="G16" s="463"/>
    </row>
    <row r="17" spans="1:7" ht="13.5" thickBot="1">
      <c r="A17" s="402" t="str">
        <f>Datos!A17</f>
        <v>Jdos. Violencia contra la mujer</v>
      </c>
      <c r="B17" s="442">
        <f>IF(ISNUMBER(NºAsuntos!G17/NºAsuntos!E17),NºAsuntos!G17/NºAsuntos!E17," - ")</f>
        <v>1.5263157894736843</v>
      </c>
      <c r="C17" s="443">
        <f>IF(ISNUMBER(NºAsuntos!I17/NºAsuntos!G17),NºAsuntos!I17/NºAsuntos!G17," - ")</f>
        <v>0.62068965517241381</v>
      </c>
      <c r="D17" s="444">
        <f>IF(ISNUMBER('Resol  Asuntos'!D17/NºAsuntos!G17),'Resol  Asuntos'!D17/NºAsuntos!G17," - ")</f>
        <v>6.8965517241379309E-2</v>
      </c>
      <c r="E17" s="445">
        <f>IF(ISNUMBER((NºAsuntos!C17+NºAsuntos!E17)/NºAsuntos!G17),(NºAsuntos!C17+NºAsuntos!E17)/NºAsuntos!G17," - ")</f>
        <v>1.6206896551724137</v>
      </c>
      <c r="G17" s="463"/>
    </row>
    <row r="18" spans="1:7" ht="14.25" thickTop="1" thickBot="1">
      <c r="A18" s="848" t="str">
        <f>Datos!A18</f>
        <v>TOTAL</v>
      </c>
      <c r="B18" s="858">
        <f>IF(ISNUMBER(NºAsuntos!G18/NºAsuntos!E18),NºAsuntos!G18/NºAsuntos!E18," - ")</f>
        <v>1.3866279069767442</v>
      </c>
      <c r="C18" s="859">
        <f>IF(ISNUMBER(NºAsuntos!I18/NºAsuntos!G18),NºAsuntos!I18/NºAsuntos!G18," - ")</f>
        <v>0.65408805031446537</v>
      </c>
      <c r="D18" s="862">
        <f>IF(ISNUMBER('Resol  Asuntos'!D18/NºAsuntos!G18),'Resol  Asuntos'!D18/NºAsuntos!G18," - ")</f>
        <v>8.5953878406708595E-2</v>
      </c>
      <c r="E18" s="861">
        <f>IF(ISNUMBER((NºAsuntos!C18+NºAsuntos!E18)/NºAsuntos!G18),(NºAsuntos!C18+NºAsuntos!E18)/NºAsuntos!G18," - ")</f>
        <v>1.6540880503144655</v>
      </c>
      <c r="G18" s="463"/>
    </row>
    <row r="19" spans="1:7" ht="15.75" customHeight="1" thickTop="1" thickBot="1">
      <c r="A19" s="793" t="str">
        <f>Datos!A19</f>
        <v>TOTAL JURISDICCIONES</v>
      </c>
      <c r="B19" s="808">
        <f>IF(ISNUMBER(NºAsuntos!G19/NºAsuntos!E19),NºAsuntos!G19/NºAsuntos!E19," - ")</f>
        <v>1.2869269949066213</v>
      </c>
      <c r="C19" s="809">
        <f>IF(ISNUMBER(NºAsuntos!I19/NºAsuntos!G19),NºAsuntos!I19/NºAsuntos!G19," - ")</f>
        <v>1.5408970976253298</v>
      </c>
      <c r="D19" s="810">
        <f>IF(ISNUMBER('Resol  Asuntos'!D19/NºAsuntos!G19),'Resol  Asuntos'!D19/NºAsuntos!G19," - ")</f>
        <v>0.15303430079155672</v>
      </c>
      <c r="E19" s="811">
        <f>IF(ISNUMBER((NºAsuntos!C19+NºAsuntos!E19)/NºAsuntos!G19),(NºAsuntos!C19+NºAsuntos!E19)/NºAsuntos!G19," - ")</f>
        <v>2.5408970976253298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B//jNGaj6D+ZJUzV0877acRAAnKOtcgG7KO+vrHIRkVXxw4onJ/hhFzOj4KVhDYw7OwL5mZVQm5BZCzMCP4ig==" saltValue="WUo1Fx/zgqWZVkGf/wz3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POZOBLANCO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24</v>
      </c>
      <c r="AB10" s="334">
        <f>IF(ISNUMBER(Datos!R10),Datos!R10," - ")</f>
        <v>2</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18</v>
      </c>
      <c r="AN10" s="244">
        <f>IF(ISNUMBER('Resol  Asuntos'!D10/NºAsuntos!G10),'Resol  Asuntos'!D10/NºAsuntos!G10," - ")</f>
        <v>0.5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v>
      </c>
      <c r="AJ12" s="229" t="str">
        <f>IF(ISNUMBER(Datos!BW12),Datos!BW12," - ")</f>
        <v xml:space="preserve"> - </v>
      </c>
      <c r="AK12" s="228" t="str">
        <f>IF(ISNUMBER(Datos!BX12),Datos!BX12," - ")</f>
        <v xml:space="preserve"> - </v>
      </c>
      <c r="AL12" s="243">
        <f>IF(ISNUMBER(NºAsuntos!G12/NºAsuntos!E12),NºAsuntos!G12/NºAsuntos!E12," - ")</f>
        <v>1.1541666666666666</v>
      </c>
      <c r="AM12" s="260">
        <f>IF(ISNUMBER(((NºAsuntos!I12/NºAsuntos!G12)*11)/factor_trimestre),((NºAsuntos!I12/NºAsuntos!G12)*11)/factor_trimestre," - ")</f>
        <v>9.0108303249097474</v>
      </c>
      <c r="AN12" s="244">
        <f>IF(ISNUMBER('Resol  Asuntos'!D12/NºAsuntos!G12),'Resol  Asuntos'!D12/NºAsuntos!G12," - ")</f>
        <v>0.26353790613718414</v>
      </c>
      <c r="AO12" s="245">
        <f>IF(ISNUMBER((NºAsuntos!C12+NºAsuntos!E12)/NºAsuntos!G12),(NºAsuntos!C12+NºAsuntos!E12)/NºAsuntos!G12," - ")</f>
        <v>4.0036101083032491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13</v>
      </c>
      <c r="Y13" s="868">
        <f t="shared" si="4"/>
        <v>17</v>
      </c>
      <c r="Z13" s="868">
        <f t="shared" si="4"/>
        <v>0</v>
      </c>
      <c r="AA13" s="868">
        <f t="shared" si="4"/>
        <v>24</v>
      </c>
      <c r="AB13" s="868">
        <f t="shared" si="4"/>
        <v>1221</v>
      </c>
      <c r="AC13" s="868">
        <f t="shared" si="4"/>
        <v>26</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1.1469387755102041</v>
      </c>
      <c r="AM13" s="874">
        <f>IF(ISNUMBER(((NºAsuntos!I13/NºAsuntos!G13)*11)/factor_trimestre),((NºAsuntos!I13/NºAsuntos!G13)*11)/factor_trimestre," - ")</f>
        <v>9.1387900355871903</v>
      </c>
      <c r="AN13" s="875">
        <f>IF(ISNUMBER('Resol  Asuntos'!D13/NºAsuntos!G13),'Resol  Asuntos'!D13/NºAsuntos!G13," - ")</f>
        <v>0.2669039145907473</v>
      </c>
      <c r="AO13" s="876">
        <f>IF(ISNUMBER((NºAsuntos!C13+NºAsuntos!E13)/NºAsuntos!G13),(NºAsuntos!C13+NºAsuntos!E13)/NºAsuntos!G13," - ")</f>
        <v>4.0462633451957295</v>
      </c>
      <c r="AP13" s="877" t="str">
        <f t="shared" si="2"/>
        <v xml:space="preserve"> - </v>
      </c>
      <c r="AQ13" s="877">
        <f>IF(ISNUMBER((H13-W13+K13)/(F13)),(H13-W13+K13)/(F13)," - ")</f>
        <v>-0.17391304347826086</v>
      </c>
      <c r="AR13" s="878">
        <f>IF(ISNUMBER((Datos!P13-Datos!Q13)/(Datos!R13-Datos!P13+Datos!Q13)),(Datos!P13-Datos!Q13)/(Datos!R13-Datos!P13+Datos!Q13)," - ")</f>
        <v>5.3494391716997408E-2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417</v>
      </c>
      <c r="G16" s="333">
        <f>IF(ISNUMBER(IF(D_I="SI",Datos!I16,Datos!I16+Datos!AC16)),IF(D_I="SI",Datos!I16,Datos!I16+Datos!AC16)," - ")</f>
        <v>417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448</v>
      </c>
      <c r="X16" s="226">
        <f>IF(ISNUMBER(Datos!Q16),Datos!Q16," - ")</f>
        <v>14</v>
      </c>
      <c r="Y16" s="334">
        <f t="shared" ref="Y16:Y17" si="7">SUM(W16:X16)</f>
        <v>462</v>
      </c>
      <c r="Z16" s="335" t="str">
        <f>IF(ISNUMBER(Datos!CC16),Datos!CC16," - ")</f>
        <v xml:space="preserve"> - </v>
      </c>
      <c r="AA16" s="332">
        <f>IF(ISNUMBER(IF(D_I="SI",Datos!L16,Datos!L16+Datos!AF16)),IF(D_I="SI",Datos!L16,Datos!L16+Datos!AF16)," - ")</f>
        <v>294</v>
      </c>
      <c r="AB16" s="334">
        <f>IF(ISNUMBER(Datos!R16),Datos!R16," - ")</f>
        <v>34</v>
      </c>
      <c r="AC16" s="334">
        <f t="shared" si="6"/>
        <v>328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1.3784615384615384</v>
      </c>
      <c r="AM16" s="260">
        <f>IF(ISNUMBER(((NºAsuntos!I16/NºAsuntos!G16)*11)/factor_trimestre),((NºAsuntos!I16/NºAsuntos!G16)*11)/factor_trimestre," - ")</f>
        <v>1.96875</v>
      </c>
      <c r="AN16" s="244">
        <f>IF(ISNUMBER('Resol  Asuntos'!D16/NºAsuntos!G16),'Resol  Asuntos'!D16/NºAsuntos!G16," - ")</f>
        <v>8.7053571428571425E-2</v>
      </c>
      <c r="AO16" s="245">
        <f>IF(ISNUMBER((NºAsuntos!C16+NºAsuntos!E16)/NºAsuntos!G16),(NºAsuntos!C16+NºAsuntos!E16)/NºAsuntos!G16," - ")</f>
        <v>1.65625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1</v>
      </c>
      <c r="Y17" s="334">
        <f t="shared" si="7"/>
        <v>30</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1.5263157894736843</v>
      </c>
      <c r="AM17" s="260">
        <f>IF(ISNUMBER(((NºAsuntos!I17/NºAsuntos!G17)*11)/factor_trimestre),((NºAsuntos!I17/NºAsuntos!G17)*11)/factor_trimestre," - ")</f>
        <v>1.8620689655172413</v>
      </c>
      <c r="AN17" s="244">
        <f>IF(ISNUMBER('Resol  Asuntos'!D17/NºAsuntos!G17),'Resol  Asuntos'!D17/NºAsuntos!G17," - ")</f>
        <v>6.8965517241379309E-2</v>
      </c>
      <c r="AO17" s="245">
        <f>IF(ISNUMBER((NºAsuntos!C17+NºAsuntos!E17)/NºAsuntos!G17),(NºAsuntos!C17+NºAsuntos!E17)/NºAsuntos!G17," - ")</f>
        <v>1.6206896551724137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417</v>
      </c>
      <c r="G18" s="866">
        <f>SUBTOTAL(9,G15:G17)</f>
        <v>445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477</v>
      </c>
      <c r="X18" s="867">
        <f t="shared" si="11"/>
        <v>15</v>
      </c>
      <c r="Y18" s="868">
        <f t="shared" si="11"/>
        <v>492</v>
      </c>
      <c r="Z18" s="868">
        <f t="shared" si="11"/>
        <v>0</v>
      </c>
      <c r="AA18" s="868">
        <f t="shared" si="11"/>
        <v>312</v>
      </c>
      <c r="AB18" s="868">
        <f t="shared" si="11"/>
        <v>34</v>
      </c>
      <c r="AC18" s="868">
        <f t="shared" si="11"/>
        <v>346</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1.3866279069767442</v>
      </c>
      <c r="AM18" s="874">
        <f>IF(ISNUMBER(((NºAsuntos!I18/NºAsuntos!G18)*11)/factor_trimestre),((NºAsuntos!I18/NºAsuntos!G18)*11)/factor_trimestre," - ")</f>
        <v>1.962264150943396</v>
      </c>
      <c r="AN18" s="875">
        <f>IF(ISNUMBER('Resol  Asuntos'!D18/NºAsuntos!G18),'Resol  Asuntos'!D18/NºAsuntos!G18," - ")</f>
        <v>8.5953878406708595E-2</v>
      </c>
      <c r="AO18" s="876">
        <f>IF(ISNUMBER((NºAsuntos!C18+NºAsuntos!E18)/NºAsuntos!G18),(NºAsuntos!C18+NºAsuntos!E18)/NºAsuntos!G18," - ")</f>
        <v>1.6540880503144655</v>
      </c>
      <c r="AP18" s="877" t="str">
        <f t="shared" si="2"/>
        <v xml:space="preserve"> - </v>
      </c>
      <c r="AQ18" s="877">
        <f>IF(ISNUMBER((H18-W18+K18)/(F18)),(H18-W18+K18)/(F18)," - ")</f>
        <v>-1.1438848920863309</v>
      </c>
      <c r="AR18" s="878">
        <f>IF(ISNUMBER((Datos!P18-Datos!Q18)/(Datos!R18-Datos!P18+Datos!Q18)),(Datos!P18-Datos!Q18)/(Datos!R18-Datos!P18+Datos!Q18)," - ")</f>
        <v>-0.19047619047619047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440</v>
      </c>
      <c r="G19" s="821">
        <f t="shared" si="13"/>
        <v>468</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481</v>
      </c>
      <c r="X19" s="821">
        <f t="shared" si="14"/>
        <v>28</v>
      </c>
      <c r="Y19" s="828">
        <f t="shared" si="14"/>
        <v>509</v>
      </c>
      <c r="Z19" s="828">
        <f t="shared" si="14"/>
        <v>0</v>
      </c>
      <c r="AA19" s="828">
        <f t="shared" si="14"/>
        <v>336</v>
      </c>
      <c r="AB19" s="828">
        <f t="shared" si="14"/>
        <v>1255</v>
      </c>
      <c r="AC19" s="828">
        <f t="shared" si="14"/>
        <v>372</v>
      </c>
      <c r="AD19" s="828">
        <f t="shared" si="14"/>
        <v>0</v>
      </c>
      <c r="AE19" s="830">
        <f t="shared" si="14"/>
        <v>0</v>
      </c>
      <c r="AF19" s="831">
        <f t="shared" si="14"/>
        <v>0</v>
      </c>
      <c r="AG19" s="832">
        <f t="shared" si="14"/>
        <v>0</v>
      </c>
      <c r="AH19" s="830">
        <f t="shared" si="14"/>
        <v>0</v>
      </c>
      <c r="AI19" s="820">
        <f t="shared" si="14"/>
        <v>116</v>
      </c>
      <c r="AJ19" s="820">
        <f t="shared" si="14"/>
        <v>0</v>
      </c>
      <c r="AK19" s="830">
        <f t="shared" si="14"/>
        <v>0</v>
      </c>
      <c r="AL19" s="884">
        <f>IF(ISNUMBER(NºAsuntos!G19/NºAsuntos!E19),NºAsuntos!G19/NºAsuntos!E19," - ")</f>
        <v>1.2869269949066213</v>
      </c>
      <c r="AM19" s="885">
        <f>IF(ISNUMBER(((NºAsuntos!I19/NºAsuntos!G19)*11)/factor_trimestre),((NºAsuntos!I19/NºAsuntos!G19)*11)/factor_trimestre," - ")</f>
        <v>4.6226912928759889</v>
      </c>
      <c r="AN19" s="885">
        <f>IF(ISNUMBER('Resol  Asuntos'!D19/NºAsuntos!G19),'Resol  Asuntos'!D19/NºAsuntos!G19," - ")</f>
        <v>0.15303430079155672</v>
      </c>
      <c r="AO19" s="886">
        <f>IF(ISNUMBER((NºAsuntos!C19+NºAsuntos!E19)/NºAsuntos!G19),(NºAsuntos!C19+NºAsuntos!E19)/NºAsuntos!G19," - ")</f>
        <v>2.5408970976253298</v>
      </c>
      <c r="AP19" s="887" t="str">
        <f t="shared" si="2"/>
        <v xml:space="preserve"> - </v>
      </c>
      <c r="AQ19" s="888">
        <f>IF(OR(ISNUMBER(FIND("01",Criterios!A8,1)),ISNUMBER(FIND("02",Criterios!A8,1)),ISNUMBER(FIND("03",Criterios!A8,1)),ISNUMBER(FIND("04",Criterios!A8,1))),(I19-W19+K19)/(F19-K19),(H19-W19+K19)/(F19-K19))</f>
        <v>-1.0931818181818183</v>
      </c>
      <c r="AR19" s="889">
        <f>IF(ISNUMBER((Datos!P19-Datos!Q19)/(Datos!R19-Datos!P19+Datos!Q19)),(Datos!P19-Datos!Q19)/(Datos!R19-Datos!P19+Datos!Q19)," - ")</f>
        <v>4.4962531223980015E-2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227.47600606071256</v>
      </c>
      <c r="G21" s="253">
        <f>IF(ISNUMBER(STDEV(G8:G18)),STDEV(G8:G18),"-")</f>
        <v>222.78734254889795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246.99048564671475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32.22835190739152</v>
      </c>
      <c r="AJ21" s="252">
        <f t="shared" si="18"/>
        <v>0</v>
      </c>
      <c r="AK21" s="254">
        <f t="shared" si="18"/>
        <v>0</v>
      </c>
      <c r="AL21" s="249">
        <f t="shared" si="18"/>
        <v>0.25764314546377792</v>
      </c>
      <c r="AM21" s="250">
        <f t="shared" si="18"/>
        <v>6.4297419641192874</v>
      </c>
      <c r="AN21" s="250">
        <f t="shared" si="18"/>
        <v>0.16767388882653433</v>
      </c>
      <c r="AO21" s="251">
        <f t="shared" si="18"/>
        <v>2.1432473213730949</v>
      </c>
      <c r="AP21" s="291" t="str">
        <f t="shared" si="18"/>
        <v>-</v>
      </c>
      <c r="AQ21" s="292">
        <f t="shared" si="18"/>
        <v>0.6858736717108177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D8rcYJe1MTd5/iY5GvzrPcyzNJQE3Jp1OK4/1AdOGvnXk85OUQUnpj6/IZNWeaC3280fKaHxvaDjV0Q2uV+hw==" saltValue="XvKlrPzXwLFVsL6d06b4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POZOBLANCO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v>
      </c>
      <c r="E10" s="348">
        <f>IF(ISNUMBER((Datos!J10-Datos!T10)/Datos!T10),(Datos!J10-Datos!T10)/Datos!T10," - ")</f>
        <v>-0.16666666666666666</v>
      </c>
      <c r="F10" s="348">
        <f>IF(ISNUMBER((Datos!K10-Datos!U10)/Datos!U10),(Datos!K10-Datos!U10)/Datos!U10," - ")</f>
        <v>3</v>
      </c>
      <c r="G10" s="349">
        <f>IF(ISNUMBER((Datos!L10-Datos!V10)/Datos!V10),(Datos!L10-Datos!V10)/Datos!V10," - ")</f>
        <v>0.6</v>
      </c>
      <c r="H10" s="230" t="str">
        <f>IF(ISNUMBER((Datos!M10-Datos!W10)/Datos!W10),(Datos!M10-Datos!W10)/Datos!W10," - ")</f>
        <v xml:space="preserve"> - </v>
      </c>
      <c r="I10" s="350">
        <f>IF(ISNUMBER((Tasas!C10-Datos!BE10)/Datos!BE10),(Tasas!C10-Datos!BE10)/Datos!BE10," - ")</f>
        <v>-0.6</v>
      </c>
      <c r="J10" s="349" t="str">
        <f>IF(ISNUMBER((Tasas!D10-Datos!BF10)/Datos!BF10),(Tasas!D10-Datos!BF10)/Datos!BF10," - ")</f>
        <v xml:space="preserve"> - </v>
      </c>
      <c r="K10" s="351">
        <f>IF(ISNUMBER((Tasas!E10-Datos!BG10)/Datos!BG10),(Tasas!E10-Datos!BG10)/Datos!BG10," - ")</f>
        <v>-0.5625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0.30357142857142855</v>
      </c>
      <c r="I12" s="350">
        <f>IF(ISNUMBER((Tasas!C12-Datos!BE12)/Datos!BE12),(Tasas!C12-Datos!BE12)/Datos!BE12," - ")</f>
        <v>1.9473503913146593E-2</v>
      </c>
      <c r="J12" s="349">
        <f>IF(ISNUMBER((Tasas!D12-Datos!BF12)/Datos!BF12),(Tasas!D12-Datos!BF12)/Datos!BF12," - ")</f>
        <v>-0.23409296028880866</v>
      </c>
      <c r="K12" s="351">
        <f>IF(ISNUMBER((Tasas!E12-Datos!BG12)/Datos!BG12),(Tasas!E12-Datos!BG12)/Datos!BG12," - ")</f>
        <v>1.4538801286654404E-2</v>
      </c>
      <c r="M12" t="e">
        <f>IF(Monitorios="SI",Datos!CE12,0)</f>
        <v>#REF!</v>
      </c>
      <c r="N12" t="e">
        <f>IF(Monitorios="SI",Datos!CF12,0)</f>
        <v>#REF!</v>
      </c>
      <c r="O12" t="e">
        <f>IF(Monitorios="SI",Datos!CG12,0)</f>
        <v>#REF!</v>
      </c>
      <c r="P12" t="e">
        <f>IF(Monitorios="SI",Datos!CH12,0)</f>
        <v>#REF!</v>
      </c>
      <c r="Q12">
        <f>IF(J_V="SI",0,Datos!AG12)</f>
        <v>165</v>
      </c>
      <c r="R12">
        <f>IF(J_V="SI",0,Datos!AH12)</f>
        <v>32</v>
      </c>
      <c r="S12">
        <f>IF(J_V="SI",0,Datos!AI12)</f>
        <v>61</v>
      </c>
      <c r="T12">
        <f>IF(J_V="SI",0,Datos!AJ12)</f>
        <v>136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0.3392857142857143</v>
      </c>
      <c r="I13" s="357">
        <f>IF(ISNUMBER((Tasas!C13-Datos!BE13)/Datos!BE13),(Tasas!C13-Datos!BE13)/Datos!BE13," - ")</f>
        <v>1.9060617269778077E-2</v>
      </c>
      <c r="J13" s="355">
        <f>IF(ISNUMBER((Tasas!D13-Datos!BF13)/Datos!BF13),(Tasas!D13-Datos!BF13)/Datos!BF13," - ")</f>
        <v>-0.22153024911032038</v>
      </c>
      <c r="K13" s="358">
        <f>IF(ISNUMBER((Tasas!E13-Datos!BG13)/Datos!BG13),(Tasas!E13-Datos!BG13)/Datos!BG13," - ")</f>
        <v>1.4282664865536481E-2</v>
      </c>
      <c r="M13" t="e">
        <f>IF(Monitorios="SI",Datos!CE13,0)</f>
        <v>#REF!</v>
      </c>
      <c r="N13" t="e">
        <f>IF(Monitorios="SI",Datos!CF13,0)</f>
        <v>#REF!</v>
      </c>
      <c r="O13" t="e">
        <f>IF(Monitorios="SI",Datos!CG13,0)</f>
        <v>#REF!</v>
      </c>
      <c r="P13" t="e">
        <f>IF(Monitorios="SI",Datos!CH13,0)</f>
        <v>#REF!</v>
      </c>
      <c r="Q13">
        <f>IF(J_V="SI",0,Datos!AG13)</f>
        <v>165</v>
      </c>
      <c r="R13">
        <f>IF(J_V="SI",0,Datos!AH13)</f>
        <v>32</v>
      </c>
      <c r="S13">
        <f>IF(J_V="SI",0,Datos!AI13)</f>
        <v>61</v>
      </c>
      <c r="T13">
        <f>IF(J_V="SI",0,Datos!AJ13)</f>
        <v>136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2.9629629629629631E-2</v>
      </c>
      <c r="E16" s="348">
        <f>IF(ISNUMBER(
   IF(D_I="SI",(Datos!J16-Datos!T16)/Datos!T16,(Datos!J16+Datos!AD16-(Datos!T16+Datos!AL16))/(Datos!T16+Datos!AL16))
     ),IF(D_I="SI",(Datos!J16-Datos!T16)/Datos!T16,(Datos!J16+Datos!AD16-(Datos!T16+Datos!AL16))/(Datos!T16+Datos!AL16))," - ")</f>
        <v>-0.11684782608695653</v>
      </c>
      <c r="F16" s="348">
        <f>IF(ISNUMBER(
   IF(D_I="SI",(Datos!K16-Datos!U16)/Datos!U16,(Datos!K16+Datos!AE16-(Datos!U16+Datos!AM16))/(Datos!U16+Datos!AM16))
     ),IF(D_I="SI",(Datos!K16-Datos!U16)/Datos!U16,(Datos!K16+Datos!AE16-(Datos!U16+Datos!AM16))/(Datos!U16+Datos!AM16))," - ")</f>
        <v>8.7378640776699032E-2</v>
      </c>
      <c r="G16" s="349">
        <f>IF(ISNUMBER(
   IF(D_I="SI",(Datos!L16-Datos!V16)/Datos!V16,(Datos!L16+Datos!AF16-(Datos!V16+Datos!AN16))/(Datos!V16+Datos!AN16))
     ),IF(D_I="SI",(Datos!L16-Datos!V16)/Datos!V16,(Datos!L16+Datos!AF16-(Datos!V16+Datos!AN16))/(Datos!V16+Datos!AN16))," - ")</f>
        <v>-0.18559556786703602</v>
      </c>
      <c r="H16" s="230">
        <f>IF(ISNUMBER((Datos!M16-Datos!W16)/Datos!W16),(Datos!M16-Datos!W16)/Datos!W16," - ")</f>
        <v>-0.13333333333333333</v>
      </c>
      <c r="I16" s="350">
        <f>IF(ISNUMBER((Tasas!C16-Datos!BE16)/Datos!BE16),(Tasas!C16-Datos!BE16)/Datos!BE16," - ")</f>
        <v>-0.25103878116343498</v>
      </c>
      <c r="J16" s="349">
        <f>IF(ISNUMBER((Tasas!D16-Datos!BF16)/Datos!BF16),(Tasas!D16-Datos!BF16)/Datos!BF16," - ")</f>
        <v>-0.20297619047619045</v>
      </c>
      <c r="K16" s="351">
        <f>IF(ISNUMBER((Tasas!E16-Datos!BG16)/Datos!BG16),(Tasas!E16-Datos!BG16)/Datos!BG16," - ")</f>
        <v>-0.11723803363518756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0.31818181818181818</v>
      </c>
      <c r="G17" s="349">
        <f>IF(ISNUMBER(
   IF(D_I="SI",(Datos!L17-Datos!V17)/Datos!V17,(Datos!L17+Datos!AF17-(Datos!V17+Datos!AN17))/(Datos!V17+Datos!AN17))
     ),IF(D_I="SI",(Datos!L17-Datos!V17)/Datos!V17,(Datos!L17+Datos!AF17-(Datos!V17+Datos!AN17))/(Datos!V17+Datos!AN17))," - ")</f>
        <v>-0.41935483870967744</v>
      </c>
      <c r="H17" s="230">
        <f>IF(ISNUMBER((Datos!M17-Datos!W17)/Datos!W17),(Datos!M17-Datos!W17)/Datos!W17," - ")</f>
        <v>1</v>
      </c>
      <c r="I17" s="350">
        <f>IF(ISNUMBER((Tasas!C17-Datos!BE17)/Datos!BE17),(Tasas!C17-Datos!BE17)/Datos!BE17," - ")</f>
        <v>-0.55951056729699666</v>
      </c>
      <c r="J17" s="349">
        <f>IF(ISNUMBER((Tasas!D17-Datos!BF17)/Datos!BF17),(Tasas!D17-Datos!BF17)/Datos!BF17," - ")</f>
        <v>0.51724137931034475</v>
      </c>
      <c r="K17" s="351">
        <f>IF(ISNUMBER((Tasas!E17-Datos!BG17)/Datos!BG17),(Tasas!E17-Datos!BG17)/Datos!BG17," - ")</f>
        <v>-0.32726089785296036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1.366742596810934E-2</v>
      </c>
      <c r="E18" s="354">
        <f>IF(ISNUMBER(
   IF(D_I="SI",(Datos!J18-Datos!T18)/Datos!T18,(Datos!J18+Datos!AD18-(Datos!T18+Datos!AL18))/(Datos!T18+Datos!AL18))
     ),IF(D_I="SI",(Datos!J18-Datos!T18)/Datos!T18,(Datos!J18+Datos!AD18-(Datos!T18+Datos!AL18))/(Datos!T18+Datos!AL18))," - ")</f>
        <v>-0.1111111111111111</v>
      </c>
      <c r="F18" s="354">
        <f>IF(ISNUMBER(
   IF(D_I="SI",(Datos!K18-Datos!U18)/Datos!U18,(Datos!K18+Datos!AE18-(Datos!U18+Datos!AM18))/(Datos!U18+Datos!AM18))
     ),IF(D_I="SI",(Datos!K18-Datos!U18)/Datos!U18,(Datos!K18+Datos!AE18-(Datos!U18+Datos!AM18))/(Datos!U18+Datos!AM18))," - ")</f>
        <v>9.9078341013824886E-2</v>
      </c>
      <c r="G18" s="355">
        <f>IF(ISNUMBER(
   IF(D_I="SI",(Datos!L18-Datos!V18)/Datos!V18,(Datos!L18+Datos!AF18-(Datos!V18+Datos!AN18))/(Datos!V18+Datos!AN18))
     ),IF(D_I="SI",(Datos!L18-Datos!V18)/Datos!V18,(Datos!L18+Datos!AF18-(Datos!V18+Datos!AN18))/(Datos!V18+Datos!AN18))," - ")</f>
        <v>-0.20408163265306123</v>
      </c>
      <c r="H18" s="356">
        <f>IF(ISNUMBER((Datos!M18-Datos!W18)/Datos!W18),(Datos!M18-Datos!W18)/Datos!W18," - ")</f>
        <v>-0.10869565217391304</v>
      </c>
      <c r="I18" s="357">
        <f>IF(ISNUMBER((Tasas!C18-Datos!BE18)/Datos!BE18),(Tasas!C18-Datos!BE18)/Datos!BE18," - ")</f>
        <v>-0.2758310871518419</v>
      </c>
      <c r="J18" s="355">
        <f>IF(ISNUMBER((Tasas!D18-Datos!BF18)/Datos!BF18),(Tasas!D18-Datos!BF18)/Datos!BF18," - ")</f>
        <v>-0.189043842858445</v>
      </c>
      <c r="K18" s="358">
        <f>IF(ISNUMBER((Tasas!E18-Datos!BG18)/Datos!BG18),(Tasas!E18-Datos!BG18)/Datos!BG18," - ")</f>
        <v>-0.13090288881782325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-3.7257824143070045E-3</v>
      </c>
      <c r="E19" s="363">
        <f>IF(ISNUMBER(
   IF(J_V="SI",(Datos!J19-Datos!T19)/Datos!T19,(Datos!J19+Datos!Z19-(Datos!T19+Datos!AH19))/(Datos!T19+Datos!AH19))
     ),IF(J_V="SI",(Datos!J19-Datos!T19)/Datos!T19,(Datos!J19+Datos!Z19-(Datos!T19+Datos!AH19))/(Datos!T19+Datos!AH19))," - ")</f>
        <v>-1.9966722129783693E-2</v>
      </c>
      <c r="F19" s="363">
        <f>IF(ISNUMBER(
   IF(J_V="SI",(Datos!K19-Datos!U19)/Datos!U19,(Datos!K19+Datos!AA19-(Datos!U19+Datos!AI19))/(Datos!U19+Datos!AI19))
     ),IF(J_V="SI",(Datos!K19-Datos!U19)/Datos!U19,(Datos!K19+Datos!AA19-(Datos!U19+Datos!AI19))/(Datos!U19+Datos!AI19))," - ")</f>
        <v>6.1624649859943981E-2</v>
      </c>
      <c r="G19" s="364">
        <f>IF(ISNUMBER(
   IF(J_V="SI",(Datos!L19-Datos!V19)/Datos!V19,(Datos!L19+Datos!AB19-(Datos!V19+Datos!AJ19))/(Datos!V19+Datos!AJ19))
     ),IF(J_V="SI",(Datos!L19-Datos!V19)/Datos!V19,(Datos!L19+Datos!AB19-(Datos!V19+Datos!AJ19))/(Datos!V19+Datos!AJ19))," - ")</f>
        <v>-4.9633848657445079E-2</v>
      </c>
      <c r="H19" s="365">
        <f>IF(ISNUMBER((Datos!M19-Datos!W19)/Datos!W19),(Datos!M19-Datos!W19)/Datos!W19," - ")</f>
        <v>0.13725490196078433</v>
      </c>
      <c r="I19" s="362">
        <f>IF(ISNUMBER((Tasas!C19-Datos!BE19)/Datos!BE19),(Tasas!C19-Datos!BE19)/Datos!BE19," - ")</f>
        <v>-0.1048002215585961</v>
      </c>
      <c r="J19" s="363">
        <f>IF(ISNUMBER((Tasas!D19-Datos!BF19)/Datos!BF19),(Tasas!D19-Datos!BF19)/Datos!BF19," - ")</f>
        <v>-0.23051767066780629</v>
      </c>
      <c r="K19" s="364">
        <f>IF(ISNUMBER((Tasas!E19-Datos!BG19)/Datos!BG19),(Tasas!E19-Datos!BG19)/Datos!BG19," - ")</f>
        <v>-6.6288971845349765E-2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0.67868391778065906</v>
      </c>
      <c r="E21" s="278">
        <f t="shared" si="1"/>
        <v>7.0343276023060772E-2</v>
      </c>
      <c r="F21" s="278">
        <f t="shared" si="1"/>
        <v>1.4198671222307655</v>
      </c>
      <c r="G21" s="279">
        <f t="shared" si="1"/>
        <v>0.44759725572263681</v>
      </c>
      <c r="H21" s="285">
        <f t="shared" si="1"/>
        <v>0.45945593517161526</v>
      </c>
      <c r="I21" s="277">
        <f t="shared" si="1"/>
        <v>0.26845171323474887</v>
      </c>
      <c r="J21" s="278">
        <f t="shared" si="1"/>
        <v>0.32654158998154731</v>
      </c>
      <c r="K21" s="279">
        <f t="shared" si="1"/>
        <v>0.2235136538820649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uWSDkC5A7lWE8RxqiO02JrqOGfNRUXBE9n+v1Gpypseit5L7YTQe9cQPpPfYDwgdqy9qOblf+jvSVYdGqpIhw==" saltValue="srlnJSe33sKr9IFQFGMR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5</v>
      </c>
      <c r="F10" s="226">
        <f>IF(ISNUMBER(Datos!K10),Datos!K10," - ")</f>
        <v>4</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4.3478260869565216E-2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33.039711191335741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417</v>
      </c>
      <c r="D16" s="225">
        <f>IF(ISNUMBER(IF(D_I="SI",Datos!I16,Datos!I16+Datos!AC16)),IF(D_I="SI",Datos!I16,Datos!I16+Datos!AC16)," - ")</f>
        <v>417</v>
      </c>
      <c r="E16" s="226">
        <f>IF(ISNUMBER(IF(D_I="SI",Datos!J16,Datos!J16+Datos!AD16)),IF(D_I="SI",Datos!J16,Datos!J16+Datos!AD16)," - ")</f>
        <v>325</v>
      </c>
      <c r="F16" s="226">
        <f>IF(ISNUMBER(IF(D_I="SI",Datos!K16,Datos!K16+Datos!AE16)),IF(D_I="SI",Datos!K16,Datos!K16+Datos!AE16)," - ")</f>
        <v>448</v>
      </c>
      <c r="G16" s="1034" t="str">
        <f>IF(Datos!E16&lt;&gt;"",Datos!E16,Datos!D16)</f>
        <v>04</v>
      </c>
      <c r="H16" s="227">
        <f>IF(ISNUMBER(IF(D_I="SI",Datos!L16,Datos!L16+Datos!AF16)),IF(D_I="SI",Datos!L16,Datos!L16+Datos!AF16)," - ")</f>
        <v>294</v>
      </c>
      <c r="I16" s="1044" t="str">
        <f>IF(ISNUMBER(Datos!AS16/Datos!BM16),Datos!AS16/Datos!BM16," - ")</f>
        <v xml:space="preserve"> - </v>
      </c>
      <c r="J16" s="1045">
        <f>IF(ISNUMBER(Datos!BY16/Datos!CN16),Datos!BY16/Datos!CN16," - ")</f>
        <v>0</v>
      </c>
      <c r="K16" s="230">
        <f t="shared" si="3"/>
        <v>-0.29496402877697842</v>
      </c>
      <c r="L16" s="1025">
        <f>IF(ISNUMBER(NºAsuntos!I16/NºAsuntos!G16),(NºAsuntos!I16/NºAsuntos!G16)*11," - ")</f>
        <v>7.21875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19</v>
      </c>
      <c r="F17" s="226">
        <f>IF(ISNUMBER(IF(D_I="SI",Datos!K17,Datos!K17+Datos!AE17)),IF(D_I="SI",Datos!K17,Datos!K17+Datos!AE17)," - ")</f>
        <v>29</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-0.35714285714285715</v>
      </c>
      <c r="L17" s="1025">
        <f>IF(ISNUMBER(NºAsuntos!I17/NºAsuntos!G17),(NºAsuntos!I17/NºAsuntos!G17)*11," - ")</f>
        <v>6.8275862068965516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445</v>
      </c>
      <c r="D18" s="1049">
        <f>SUBTOTAL(9,D15:D17)</f>
        <v>445</v>
      </c>
      <c r="E18" s="1050">
        <f>SUBTOTAL(9,E15:E17)</f>
        <v>344</v>
      </c>
      <c r="F18" s="1050">
        <f>SUBTOTAL(9,F15:F17)</f>
        <v>477</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468</v>
      </c>
      <c r="D19" s="1071">
        <f>SUBTOTAL(9,D9:D18)</f>
        <v>468</v>
      </c>
      <c r="E19" s="1072">
        <f>SUBTOTAL(9,E9:E18)</f>
        <v>349</v>
      </c>
      <c r="F19" s="1072">
        <f>SUBTOTAL(9,F9:F18)</f>
        <v>481</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ZdQ2DutD4RuRK1qRaLndElrx4oZEUcKaw2L3PwOjw7CegJ5yF/Zt0t0mxLxbqoExNNIw53chtxEImKdfvUcRw==" saltValue="mL/aH/g3CNa2G5CfXAn7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eJBBpZFvWFQl/XBeMo8hdOZwl0pAjniekt6bQleGLHrBG0dOOQ8/z1iPHFCh1l5VXpLk/duwZfqgp3FrNoOIg==" saltValue="KkyAskBCxMriM0rLBpgo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5</v>
      </c>
      <c r="K10" s="181">
        <v>4</v>
      </c>
      <c r="L10" s="181">
        <v>24</v>
      </c>
      <c r="M10" s="181">
        <v>2</v>
      </c>
      <c r="N10" s="181">
        <v>0</v>
      </c>
      <c r="O10" s="181">
        <v>0</v>
      </c>
      <c r="P10" s="181">
        <v>0</v>
      </c>
      <c r="Q10" s="181">
        <v>0</v>
      </c>
      <c r="R10" s="181">
        <v>2</v>
      </c>
      <c r="S10" s="181">
        <v>10</v>
      </c>
      <c r="T10" s="181">
        <v>6</v>
      </c>
      <c r="U10" s="181">
        <v>1</v>
      </c>
      <c r="V10" s="181">
        <v>15</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6</v>
      </c>
      <c r="BA10" s="129">
        <f t="shared" si="0"/>
        <v>1</v>
      </c>
      <c r="BB10" s="129">
        <f t="shared" si="0"/>
        <v>15</v>
      </c>
      <c r="BC10" s="125">
        <f t="shared" si="0"/>
        <v>0</v>
      </c>
      <c r="BD10" s="126">
        <f>IF(ISNUMBER(BA10/AZ10),BA10/AZ10," - ")</f>
        <v>0.16666666666666666</v>
      </c>
      <c r="BE10" s="127">
        <f>IF(ISNUMBER(BB10/BA10),BB10/BA10, " - ")</f>
        <v>15</v>
      </c>
      <c r="BF10" s="127">
        <f>IF(ISNUMBER(BC10/BA10),BC10/BA10, " - ")</f>
        <v>0</v>
      </c>
      <c r="BG10" s="196">
        <f>IF(ISNUMBER((AY10+AZ10)/BA10),(AY10+AZ10)/BA10," - ")</f>
        <v>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774</v>
      </c>
      <c r="J12" s="183">
        <v>218</v>
      </c>
      <c r="K12" s="183">
        <v>243</v>
      </c>
      <c r="L12" s="183">
        <v>749</v>
      </c>
      <c r="M12" s="183">
        <v>73</v>
      </c>
      <c r="N12" s="183">
        <v>84</v>
      </c>
      <c r="O12" s="181">
        <v>121</v>
      </c>
      <c r="P12" s="183">
        <v>75</v>
      </c>
      <c r="Q12" s="183">
        <v>13</v>
      </c>
      <c r="R12" s="183">
        <v>1219</v>
      </c>
      <c r="S12" s="183">
        <v>728</v>
      </c>
      <c r="T12" s="183">
        <v>176</v>
      </c>
      <c r="U12" s="183">
        <v>218</v>
      </c>
      <c r="V12" s="183">
        <v>686</v>
      </c>
      <c r="W12" s="183">
        <v>56</v>
      </c>
      <c r="X12" s="189">
        <v>96</v>
      </c>
      <c r="Y12" s="191">
        <v>95</v>
      </c>
      <c r="Z12" s="181">
        <v>22</v>
      </c>
      <c r="AA12" s="181">
        <v>34</v>
      </c>
      <c r="AB12" s="181">
        <v>83</v>
      </c>
      <c r="AC12" s="183">
        <v>0</v>
      </c>
      <c r="AD12" s="183">
        <v>0</v>
      </c>
      <c r="AE12" s="183">
        <v>0</v>
      </c>
      <c r="AF12" s="189">
        <v>0</v>
      </c>
      <c r="AG12" s="202">
        <v>165</v>
      </c>
      <c r="AH12" s="183">
        <v>32</v>
      </c>
      <c r="AI12" s="183">
        <v>61</v>
      </c>
      <c r="AJ12" s="203">
        <v>136</v>
      </c>
      <c r="AK12" s="182">
        <v>0</v>
      </c>
      <c r="AL12" s="183">
        <v>0</v>
      </c>
      <c r="AM12" s="183">
        <v>0</v>
      </c>
      <c r="AN12" s="189">
        <v>0</v>
      </c>
      <c r="AO12" s="259">
        <v>2</v>
      </c>
      <c r="AP12" s="155">
        <v>2</v>
      </c>
      <c r="AQ12" s="155">
        <v>2</v>
      </c>
      <c r="AR12" s="154">
        <v>2</v>
      </c>
      <c r="AS12" s="340" t="s">
        <v>802</v>
      </c>
      <c r="AT12" s="203"/>
      <c r="AU12" s="202"/>
      <c r="AV12" s="203"/>
      <c r="AW12" s="202"/>
      <c r="AX12" s="203"/>
      <c r="AY12" s="126">
        <f t="shared" si="1"/>
        <v>893</v>
      </c>
      <c r="AZ12" s="127">
        <f t="shared" si="1"/>
        <v>208</v>
      </c>
      <c r="BA12" s="127">
        <f t="shared" si="1"/>
        <v>279</v>
      </c>
      <c r="BB12" s="127">
        <f t="shared" si="1"/>
        <v>822</v>
      </c>
      <c r="BC12" s="125">
        <f>IF(ISNUMBER(X12),X12," - ")</f>
        <v>96</v>
      </c>
      <c r="BD12" s="126">
        <f t="shared" si="2"/>
        <v>1.3413461538461537</v>
      </c>
      <c r="BE12" s="127">
        <f t="shared" si="3"/>
        <v>2.946236559139785</v>
      </c>
      <c r="BF12" s="127">
        <f t="shared" si="4"/>
        <v>0.34408602150537637</v>
      </c>
      <c r="BG12" s="196">
        <f t="shared" si="5"/>
        <v>3.946236559139785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797</v>
      </c>
      <c r="J13" s="184">
        <f t="shared" si="6"/>
        <v>223</v>
      </c>
      <c r="K13" s="184">
        <f t="shared" si="6"/>
        <v>247</v>
      </c>
      <c r="L13" s="184">
        <f t="shared" si="6"/>
        <v>773</v>
      </c>
      <c r="M13" s="184">
        <f t="shared" si="6"/>
        <v>75</v>
      </c>
      <c r="N13" s="184">
        <f t="shared" si="6"/>
        <v>84</v>
      </c>
      <c r="O13" s="184">
        <f t="shared" si="6"/>
        <v>121</v>
      </c>
      <c r="P13" s="184">
        <f t="shared" si="6"/>
        <v>75</v>
      </c>
      <c r="Q13" s="184">
        <f t="shared" si="6"/>
        <v>13</v>
      </c>
      <c r="R13" s="184">
        <f t="shared" si="6"/>
        <v>1221</v>
      </c>
      <c r="S13" s="184">
        <f t="shared" si="6"/>
        <v>738</v>
      </c>
      <c r="T13" s="184">
        <f t="shared" si="6"/>
        <v>182</v>
      </c>
      <c r="U13" s="184">
        <f t="shared" si="6"/>
        <v>219</v>
      </c>
      <c r="V13" s="184">
        <f t="shared" si="6"/>
        <v>701</v>
      </c>
      <c r="W13" s="184">
        <f t="shared" si="6"/>
        <v>56</v>
      </c>
      <c r="X13" s="184">
        <f t="shared" si="6"/>
        <v>97</v>
      </c>
      <c r="Y13" s="184">
        <f t="shared" si="6"/>
        <v>95</v>
      </c>
      <c r="Z13" s="184">
        <f t="shared" si="6"/>
        <v>22</v>
      </c>
      <c r="AA13" s="184">
        <f t="shared" si="6"/>
        <v>34</v>
      </c>
      <c r="AB13" s="184">
        <f t="shared" si="6"/>
        <v>83</v>
      </c>
      <c r="AC13" s="184">
        <f t="shared" si="6"/>
        <v>0</v>
      </c>
      <c r="AD13" s="184">
        <f t="shared" si="6"/>
        <v>0</v>
      </c>
      <c r="AE13" s="184">
        <f t="shared" si="6"/>
        <v>0</v>
      </c>
      <c r="AF13" s="184">
        <f>SUBTOTAL(9,AF9:AF12)</f>
        <v>0</v>
      </c>
      <c r="AG13" s="184">
        <f t="shared" ref="AG13:AT13" si="7">SUBTOTAL(9,AG8:AG12)</f>
        <v>165</v>
      </c>
      <c r="AH13" s="184">
        <f t="shared" si="7"/>
        <v>32</v>
      </c>
      <c r="AI13" s="184">
        <f t="shared" si="7"/>
        <v>61</v>
      </c>
      <c r="AJ13" s="184">
        <f t="shared" si="7"/>
        <v>136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903</v>
      </c>
      <c r="AZ13" s="184">
        <f>SUBTOTAL(9,AZ8:AZ12)</f>
        <v>214</v>
      </c>
      <c r="BA13" s="184">
        <f>SUBTOTAL(9,BA8:BA12)</f>
        <v>280</v>
      </c>
      <c r="BB13" s="184">
        <f>SUBTOTAL(9,BB8:BB12)</f>
        <v>837</v>
      </c>
      <c r="BC13" s="184">
        <f>SUBTOTAL(9,BC8:BC12)</f>
        <v>96</v>
      </c>
      <c r="BD13" s="205">
        <f>IF(ISNUMBER(BA13/AZ13),BA13/AZ13," - ")</f>
        <v>1.308411214953271</v>
      </c>
      <c r="BE13" s="206">
        <f>IF(ISNUMBER(BB13/BA13),BB13/BA13, " - ")</f>
        <v>2.9892857142857143</v>
      </c>
      <c r="BF13" s="206">
        <f>IF(ISNUMBER(BC13/BA13),BC13/BA13, " - ")</f>
        <v>0.34285714285714286</v>
      </c>
      <c r="BG13" s="207">
        <f>IF(ISNUMBER((AY13+AZ13)/BA13),(AY13+AZ13)/BA13," - ")</f>
        <v>3.9892857142857143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417</v>
      </c>
      <c r="J16" s="183">
        <v>325</v>
      </c>
      <c r="K16" s="183">
        <v>448</v>
      </c>
      <c r="L16" s="183">
        <v>294</v>
      </c>
      <c r="M16" s="183">
        <v>39</v>
      </c>
      <c r="N16" s="183">
        <v>318</v>
      </c>
      <c r="O16" s="181">
        <v>0</v>
      </c>
      <c r="P16" s="183">
        <v>7</v>
      </c>
      <c r="Q16" s="183">
        <v>14</v>
      </c>
      <c r="R16" s="183">
        <v>34</v>
      </c>
      <c r="S16" s="183">
        <v>405</v>
      </c>
      <c r="T16" s="183">
        <v>368</v>
      </c>
      <c r="U16" s="183">
        <v>412</v>
      </c>
      <c r="V16" s="183">
        <v>361</v>
      </c>
      <c r="W16" s="183">
        <v>45</v>
      </c>
      <c r="X16" s="189">
        <v>292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405</v>
      </c>
      <c r="AZ16" s="127">
        <f t="shared" si="9"/>
        <v>368</v>
      </c>
      <c r="BA16" s="127">
        <f t="shared" si="9"/>
        <v>412</v>
      </c>
      <c r="BB16" s="127">
        <f t="shared" si="9"/>
        <v>361</v>
      </c>
      <c r="BC16" s="125">
        <f>IF(ISNUMBER(W16),W16," - ")</f>
        <v>45</v>
      </c>
      <c r="BD16" s="126">
        <f t="shared" ref="BD16" si="11">IF(ISNUMBER(BA16/AZ16),BA16/AZ16," - ")</f>
        <v>1.1195652173913044</v>
      </c>
      <c r="BE16" s="127">
        <f t="shared" ref="BE16" si="12">IF(ISNUMBER(BB16/BA16),BB16/BA16, " - ")</f>
        <v>0.87621359223300976</v>
      </c>
      <c r="BF16" s="127">
        <f t="shared" ref="BF16" si="13">IF(ISNUMBER(BC16/BA16),BC16/BA16, " - ")</f>
        <v>0.10922330097087378</v>
      </c>
      <c r="BG16" s="196">
        <f t="shared" si="10"/>
        <v>1.8762135922330097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19</v>
      </c>
      <c r="K17" s="183">
        <v>29</v>
      </c>
      <c r="L17" s="183">
        <v>18</v>
      </c>
      <c r="M17" s="183">
        <v>2</v>
      </c>
      <c r="N17" s="183">
        <v>10</v>
      </c>
      <c r="O17" s="183">
        <v>0</v>
      </c>
      <c r="P17" s="183">
        <v>0</v>
      </c>
      <c r="Q17" s="183">
        <v>1</v>
      </c>
      <c r="R17" s="183">
        <v>0</v>
      </c>
      <c r="S17" s="183">
        <v>34</v>
      </c>
      <c r="T17" s="183">
        <v>19</v>
      </c>
      <c r="U17" s="183">
        <v>22</v>
      </c>
      <c r="V17" s="183">
        <v>31</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19</v>
      </c>
      <c r="BA17" s="129">
        <f t="shared" si="14"/>
        <v>22</v>
      </c>
      <c r="BB17" s="129">
        <f t="shared" si="14"/>
        <v>31</v>
      </c>
      <c r="BC17" s="125">
        <f>IF(ISNUMBER(W17),W17," - ")</f>
        <v>1</v>
      </c>
      <c r="BD17" s="126">
        <f>IF(ISNUMBER(BA17/AZ17),BA17/AZ17," - ")</f>
        <v>1.1578947368421053</v>
      </c>
      <c r="BE17" s="127">
        <f>IF(ISNUMBER(BB17/BA17),BB17/BA17, " - ")</f>
        <v>1.4090909090909092</v>
      </c>
      <c r="BF17" s="127">
        <f>IF(ISNUMBER(BC17/BA17),BC17/BA17, " - ")</f>
        <v>4.5454545454545456E-2</v>
      </c>
      <c r="BG17" s="196">
        <f>IF(ISNUMBER((AY17+AZ17)/BA17),(AY17+AZ17)/BA17," - ")</f>
        <v>2.4090909090909092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445</v>
      </c>
      <c r="J18" s="184">
        <f t="shared" si="15"/>
        <v>344</v>
      </c>
      <c r="K18" s="184">
        <f t="shared" si="15"/>
        <v>477</v>
      </c>
      <c r="L18" s="184">
        <f t="shared" si="15"/>
        <v>312</v>
      </c>
      <c r="M18" s="184">
        <f t="shared" si="15"/>
        <v>41</v>
      </c>
      <c r="N18" s="184">
        <f t="shared" si="15"/>
        <v>328</v>
      </c>
      <c r="O18" s="184">
        <f t="shared" si="15"/>
        <v>0</v>
      </c>
      <c r="P18" s="184">
        <f t="shared" si="15"/>
        <v>7</v>
      </c>
      <c r="Q18" s="184">
        <f t="shared" si="15"/>
        <v>15</v>
      </c>
      <c r="R18" s="184">
        <f t="shared" si="15"/>
        <v>34</v>
      </c>
      <c r="S18" s="184">
        <f t="shared" si="15"/>
        <v>439</v>
      </c>
      <c r="T18" s="184">
        <f t="shared" si="15"/>
        <v>387</v>
      </c>
      <c r="U18" s="184">
        <f t="shared" si="15"/>
        <v>434</v>
      </c>
      <c r="V18" s="184">
        <f t="shared" si="15"/>
        <v>392</v>
      </c>
      <c r="W18" s="184">
        <f t="shared" si="15"/>
        <v>46</v>
      </c>
      <c r="X18" s="184">
        <f t="shared" si="15"/>
        <v>304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439</v>
      </c>
      <c r="AZ18" s="184">
        <f>SUBTOTAL(9,AZ14:AZ17)</f>
        <v>387</v>
      </c>
      <c r="BA18" s="184">
        <f>SUBTOTAL(9,BA14:BA17)</f>
        <v>434</v>
      </c>
      <c r="BB18" s="184">
        <f>SUBTOTAL(9,BB14:BB17)</f>
        <v>392</v>
      </c>
      <c r="BC18" s="184">
        <f>SUBTOTAL(9,BC14:BC17)</f>
        <v>46</v>
      </c>
      <c r="BD18" s="205">
        <f>IF(ISNUMBER(BA18/AZ18),BA18/AZ18," - ")</f>
        <v>1.1214470284237725</v>
      </c>
      <c r="BE18" s="206">
        <f>IF(ISNUMBER(BB18/BA18),BB18/BA18, " - ")</f>
        <v>0.90322580645161288</v>
      </c>
      <c r="BF18" s="206">
        <f>IF(ISNUMBER(BC18/BA18),BC18/BA18, " - ")</f>
        <v>0.10599078341013825</v>
      </c>
      <c r="BG18" s="207">
        <f>IF(ISNUMBER((AY18+AZ18)/BA18),(AY18+AZ18)/BA18," - ")</f>
        <v>1.903225806451613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1242</v>
      </c>
      <c r="J19" s="134">
        <f t="shared" si="18"/>
        <v>567</v>
      </c>
      <c r="K19" s="134">
        <f t="shared" si="18"/>
        <v>724</v>
      </c>
      <c r="L19" s="134">
        <f t="shared" si="18"/>
        <v>1085</v>
      </c>
      <c r="M19" s="134">
        <f t="shared" si="18"/>
        <v>116</v>
      </c>
      <c r="N19" s="134">
        <f t="shared" si="18"/>
        <v>412</v>
      </c>
      <c r="O19" s="134">
        <f t="shared" si="18"/>
        <v>121</v>
      </c>
      <c r="P19" s="134">
        <f t="shared" si="18"/>
        <v>82</v>
      </c>
      <c r="Q19" s="134">
        <f t="shared" si="18"/>
        <v>28</v>
      </c>
      <c r="R19" s="134">
        <f t="shared" si="18"/>
        <v>1255</v>
      </c>
      <c r="S19" s="134">
        <f t="shared" si="18"/>
        <v>1177</v>
      </c>
      <c r="T19" s="134">
        <f t="shared" si="18"/>
        <v>569</v>
      </c>
      <c r="U19" s="134">
        <f t="shared" si="18"/>
        <v>653</v>
      </c>
      <c r="V19" s="134">
        <f t="shared" si="18"/>
        <v>1093</v>
      </c>
      <c r="W19" s="134">
        <f t="shared" si="18"/>
        <v>102</v>
      </c>
      <c r="X19" s="134">
        <f t="shared" si="18"/>
        <v>401</v>
      </c>
      <c r="Y19" s="134">
        <f t="shared" si="18"/>
        <v>95</v>
      </c>
      <c r="Z19" s="134">
        <f t="shared" si="18"/>
        <v>22</v>
      </c>
      <c r="AA19" s="134">
        <f t="shared" si="18"/>
        <v>34</v>
      </c>
      <c r="AB19" s="134">
        <f t="shared" si="18"/>
        <v>83</v>
      </c>
      <c r="AC19" s="134">
        <f t="shared" si="18"/>
        <v>0</v>
      </c>
      <c r="AD19" s="134">
        <f t="shared" si="18"/>
        <v>1</v>
      </c>
      <c r="AE19" s="134">
        <f t="shared" si="18"/>
        <v>1</v>
      </c>
      <c r="AF19" s="134">
        <f t="shared" si="18"/>
        <v>0</v>
      </c>
      <c r="AG19" s="134">
        <f t="shared" si="18"/>
        <v>165</v>
      </c>
      <c r="AH19" s="134">
        <f t="shared" si="18"/>
        <v>32</v>
      </c>
      <c r="AI19" s="134">
        <f t="shared" si="18"/>
        <v>61</v>
      </c>
      <c r="AJ19" s="134">
        <f t="shared" si="18"/>
        <v>136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1342</v>
      </c>
      <c r="AZ19" s="134">
        <f>SUBTOTAL(9,AZ9:AZ18)</f>
        <v>601</v>
      </c>
      <c r="BA19" s="134">
        <f>SUBTOTAL(9,BA9:BA18)</f>
        <v>714</v>
      </c>
      <c r="BB19" s="134">
        <f>SUBTOTAL(9,BB9:BB18)</f>
        <v>1229</v>
      </c>
      <c r="BC19" s="135">
        <f>SUBTOTAL(9,BC9:BC18)</f>
        <v>142</v>
      </c>
      <c r="BD19" s="213">
        <f>IF(ISNUMBER(BA19/AZ19),BA19/AZ19," - ")</f>
        <v>1.1880199667221298</v>
      </c>
      <c r="BE19" s="210">
        <f>IF(ISNUMBER(BB19/BA19),BB19/BA19, " - ")</f>
        <v>1.7212885154061626</v>
      </c>
      <c r="BF19" s="210">
        <f>IF(ISNUMBER(BC19/BA19),BC19/BA19, " - ")</f>
        <v>0.19887955182072828</v>
      </c>
      <c r="BG19" s="135">
        <f>IF(ISNUMBER((AY19+AZ19)/BA19),(AY19+AZ19)/BA19," - ")</f>
        <v>2.7212885154061626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2L03alpRZI/gD/0rrC6V10wkwB/van6NxzTz8Kw7pSrkTswAT/YDDYm7XP2Qdfltlkuc6p4JGCmDMWmDhN6TA==" saltValue="PQOsOg647SVBv/urpnkZ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LWxX0XFKg/hcbQ7srVmfAhmUzHlW1hHupqN27KIpqod2PnFf+1/z46AOlVecHlkN+pIC/cJ5GgwMyQ8HljUVg==" saltValue="Vd9jJ6rs/QJGp4m7bsvT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1219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v>
      </c>
      <c r="BD12" s="229">
        <f>IF(ISNUMBER(Datos!N12),Datos!N12," - ")</f>
        <v>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1.1541666666666666</v>
      </c>
      <c r="BH12" s="260">
        <f>IF(ISNUMBER(((IF(J_V="SI",Datos!L12/Datos!K12,(Datos!L12+Datos!AB12)/(Datos!K12+Datos!AA12)))*11)/factor_trimestre),((IF(J_V="SI",Datos!L12/Datos!K12,(Datos!L12+Datos!AB12)/(Datos!K12+Datos!AA12)))*11)/factor_trimestre," - ")</f>
        <v>9.0108303249097474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5.3586862575626622E-2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13</v>
      </c>
      <c r="AD13" s="899">
        <f t="shared" si="1"/>
        <v>0</v>
      </c>
      <c r="AE13" s="899">
        <f t="shared" si="1"/>
        <v>0</v>
      </c>
      <c r="AF13" s="899">
        <f t="shared" si="1"/>
        <v>24</v>
      </c>
      <c r="AG13" s="899">
        <f t="shared" si="1"/>
        <v>0</v>
      </c>
      <c r="AH13" s="899">
        <f t="shared" si="1"/>
        <v>83</v>
      </c>
      <c r="AI13" s="899">
        <f t="shared" si="1"/>
        <v>0</v>
      </c>
      <c r="AJ13" s="899">
        <f t="shared" si="1"/>
        <v>0</v>
      </c>
      <c r="AK13" s="899">
        <f t="shared" si="1"/>
        <v>0</v>
      </c>
      <c r="AL13" s="899">
        <f t="shared" si="1"/>
        <v>0</v>
      </c>
      <c r="AM13" s="899">
        <f t="shared" si="1"/>
        <v>1221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84</v>
      </c>
      <c r="BE13" s="899">
        <f t="shared" si="1"/>
        <v>0</v>
      </c>
      <c r="BF13" s="899">
        <f t="shared" si="1"/>
        <v>0</v>
      </c>
      <c r="BG13" s="899">
        <f>IF(ISNUMBER(Datos!K13/Datos!J13),Datos!K13/Datos!J13," - ")</f>
        <v>1.1076233183856503</v>
      </c>
      <c r="BH13" s="903">
        <f>IF(ISNUMBER(((Datos!L13/Datos!K13)*11)/factor_trimestre),((Datos!L13/Datos!K13)*11)/factor_trimestre," - ")</f>
        <v>9.3886639676113344</v>
      </c>
      <c r="BI13" s="899">
        <f>IF(ISNUMBER('Resol  Asuntos'!D13/NºAsuntos!G13),'Resol  Asuntos'!D13/NºAsuntos!G13," - ")</f>
        <v>0.2669039145907473</v>
      </c>
      <c r="BJ13" s="899" t="str">
        <f>IF(ISNUMBER(Datos!CI13/Datos!CJ13),Datos!CI13/Datos!CJ13," - ")</f>
        <v xml:space="preserve"> - </v>
      </c>
      <c r="BK13" s="899">
        <f>SUBTOTAL(9,BK8:BK12)</f>
        <v>0</v>
      </c>
      <c r="BL13" s="899">
        <f>IF(ISNUMBER((I13-AB13+L13)/(F13)),(I13-AB13+L13)/(F13)," - ")</f>
        <v>-0.17391304347826086</v>
      </c>
      <c r="BM13" s="904">
        <f>SUBTOTAL(9,BM9:BM12)</f>
        <v>5.3586862575626622E-2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417</v>
      </c>
      <c r="G16" s="598">
        <f>IF(ISNUMBER(IF(D_I="SI",Datos!I16,Datos!I16+Datos!AC16)),IF(D_I="SI",Datos!I16,Datos!I16+Datos!AC16)," - ")</f>
        <v>417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448</v>
      </c>
      <c r="AC16" s="226">
        <f>IF(ISNUMBER(Datos!Q16),Datos!Q16," - ")</f>
        <v>14</v>
      </c>
      <c r="AD16" s="334"/>
      <c r="AE16" s="484"/>
      <c r="AF16" s="596">
        <f>IF(ISNUMBER(IF(D_I="SI",Datos!L16,Datos!L16+Datos!AF16)),IF(D_I="SI",Datos!L16,Datos!L16+Datos!AF16)," - ")</f>
        <v>294</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318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1.3784615384615384</v>
      </c>
      <c r="BH16" s="260">
        <f>IF(ISNUMBER(((IF(D_I="SI",Datos!L16/Datos!K16,(Datos!L16+Datos!AF16)/(Datos!K16+Datos!AE16)))*11)/factor_trimestre),((IF(D_I="SI",Datos!L16/Datos!K16,(Datos!L16+Datos!AF16)/(Datos!K16+Datos!AE16)))*11)/factor_trimestre," - ")</f>
        <v>1.96875</v>
      </c>
      <c r="BI16" s="243">
        <f>IF(ISNUMBER('Resol  Asuntos'!D16/NºAsuntos!G16),'Resol  Asuntos'!D16/NºAsuntos!G16," - ")</f>
        <v>8.7053571428571425E-2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1</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1.5263157894736843</v>
      </c>
      <c r="BH17" s="260">
        <f>IF(ISNUMBER(((IF(D_I="SI",Datos!L17/Datos!K17,(Datos!L17+Datos!AF17)/(Datos!K17+Datos!AE17)))*11)/factor_trimestre),((IF(D_I="SI",Datos!L17/Datos!K17,(Datos!L17+Datos!AF17)/(Datos!K17+Datos!AE17)))*11)/factor_trimestre," - ")</f>
        <v>1.8620689655172413</v>
      </c>
      <c r="BI17" s="243">
        <f>IF(ISNUMBER('Resol  Asuntos'!D17/NºAsuntos!G17),'Resol  Asuntos'!D17/NºAsuntos!G17," - ")</f>
        <v>6.8965517241379309E-2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417</v>
      </c>
      <c r="G18" s="898">
        <f>SUBTOTAL(9,G15:G17)</f>
        <v>445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477</v>
      </c>
      <c r="AC18" s="899">
        <f t="shared" si="4"/>
        <v>15</v>
      </c>
      <c r="AD18" s="899">
        <f t="shared" si="4"/>
        <v>0</v>
      </c>
      <c r="AE18" s="899">
        <f t="shared" si="4"/>
        <v>0</v>
      </c>
      <c r="AF18" s="899">
        <f t="shared" si="4"/>
        <v>312</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328</v>
      </c>
      <c r="BE18" s="899">
        <f t="shared" si="4"/>
        <v>0</v>
      </c>
      <c r="BF18" s="899">
        <f t="shared" si="4"/>
        <v>0</v>
      </c>
      <c r="BG18" s="899">
        <f>IF(ISNUMBER(Datos!K18/Datos!J18),Datos!K18/Datos!J18," - ")</f>
        <v>1.3866279069767442</v>
      </c>
      <c r="BH18" s="903">
        <f>IF(ISNUMBER(((Datos!L18/Datos!K18)*11)/factor_trimestre),((Datos!L18/Datos!K18)*11)/factor_trimestre," - ")</f>
        <v>1.962264150943396</v>
      </c>
      <c r="BI18" s="899">
        <f>SUBTOTAL(9,BI15:BI17)</f>
        <v>0.15601908866995073</v>
      </c>
      <c r="BJ18" s="899">
        <f>SUBTOTAL(9,BJ15:BJ17)</f>
        <v>0</v>
      </c>
      <c r="BK18" s="899">
        <f>SUBTOTAL(9,BK15:BK17)</f>
        <v>0</v>
      </c>
      <c r="BL18" s="899">
        <f>IF(ISNUMBER((I18-AB18+L18)/(F18)),(I18-AB18+L18)/(F18)," - ")</f>
        <v>-1.1438848920863309</v>
      </c>
      <c r="BM18" s="905">
        <f>IF(ISNUMBER((Datos!P18-Datos!Q18)/(Datos!R18-Datos!P18+Datos!Q18)),(Datos!P18-Datos!Q18)/(Datos!R18-Datos!P18+Datos!Q18)," - ")</f>
        <v>-0.19047619047619047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440</v>
      </c>
      <c r="G19" s="820">
        <f t="shared" si="6"/>
        <v>468</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481</v>
      </c>
      <c r="AC19" s="821">
        <f t="shared" si="7"/>
        <v>28</v>
      </c>
      <c r="AD19" s="821">
        <f t="shared" si="7"/>
        <v>0</v>
      </c>
      <c r="AE19" s="821">
        <f t="shared" si="7"/>
        <v>0</v>
      </c>
      <c r="AF19" s="828">
        <f t="shared" si="7"/>
        <v>336</v>
      </c>
      <c r="AG19" s="828">
        <f t="shared" si="7"/>
        <v>0</v>
      </c>
      <c r="AH19" s="828">
        <f t="shared" si="7"/>
        <v>83</v>
      </c>
      <c r="AI19" s="828">
        <f t="shared" si="7"/>
        <v>0</v>
      </c>
      <c r="AJ19" s="821">
        <f t="shared" si="7"/>
        <v>0</v>
      </c>
      <c r="AK19" s="828">
        <f t="shared" si="7"/>
        <v>0</v>
      </c>
      <c r="AL19" s="828">
        <f t="shared" si="7"/>
        <v>0</v>
      </c>
      <c r="AM19" s="828">
        <f t="shared" si="7"/>
        <v>1255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v>
      </c>
      <c r="BD19" s="820">
        <f t="shared" si="7"/>
        <v>412</v>
      </c>
      <c r="BE19" s="820">
        <f t="shared" si="7"/>
        <v>0</v>
      </c>
      <c r="BF19" s="830">
        <f t="shared" si="7"/>
        <v>0</v>
      </c>
      <c r="BG19" s="915">
        <f>IF(ISNUMBER(Datos!K19/Datos!J19),Datos!K19/Datos!J19," - ")</f>
        <v>1.2768959435626102</v>
      </c>
      <c r="BH19" s="915">
        <f>IF(ISNUMBER(((Datos!L19/Datos!K19)*11)/factor_trimestre),((Datos!L19/Datos!K19)*11)/factor_trimestre," - ")</f>
        <v>4.4958563535911598</v>
      </c>
      <c r="BI19" s="813">
        <f>IF(ISNUMBER(Datos!J19/Datos!I19),Datos!J19/Datos!I19," - ")</f>
        <v>0.45652173913043476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-1.0931818181818183</v>
      </c>
      <c r="BM19" s="889">
        <f>IF(ISNUMBER((Datos!P19-Datos!Q19+R19)/(Datos!R19-Datos!P19+Datos!Q19-R19)),(Datos!P19-Datos!Q19+R19)/(Datos!R19-Datos!P19+Datos!Q19-R19)," - ")</f>
        <v>4.4962531223980015E-2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227.47600606071256</v>
      </c>
      <c r="G21" s="552">
        <f>IF(ISNUMBER(STDEV(G8:G18)),STDEV(G8:G18),"-")</f>
        <v>222.78734254889795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246.99048564671475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32.22835190739152</v>
      </c>
      <c r="BD21" s="551"/>
      <c r="BE21" s="551">
        <f>IF(ISNUMBER(STDEV(BE8:BE18)),STDEV(BE8:BE18),"-")</f>
        <v>0</v>
      </c>
      <c r="BF21" s="556">
        <f>IF(ISNUMBER(STDEV(BF8:BF18)),STDEV(BF8:BF18),"-")</f>
        <v>0</v>
      </c>
      <c r="BG21" s="775">
        <f>IF(ISNUMBER(STDEV(BG8:BG18)),STDEV(BG8:BG18),"-")</f>
        <v>0.26072329163807123</v>
      </c>
      <c r="BH21" s="776">
        <f>IF(ISNUMBER(STDEV(BH8:BH18)),STDEV(BH8:BH18),"-")</f>
        <v>6.4472252558518663</v>
      </c>
      <c r="BI21" s="249">
        <f>IF(ISNUMBER(STDEV(BI8:BI18)),STDEV(BI8:BI18),"-")</f>
        <v>8.9667415240707329E-2</v>
      </c>
      <c r="BJ21" s="230" t="str">
        <f>IF(ISNUMBER(BL21/BM21),BL21/BM21," - ")</f>
        <v xml:space="preserve"> - </v>
      </c>
      <c r="BK21" s="575"/>
      <c r="BL21" s="559">
        <f>IF(ISNUMBER(STDEV(BL8:BL18)),STDEV(BL8:BL18),"-")</f>
        <v>0.6858736717108177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csy3aEbGXFbSDVDXFvclnzH0cIG/RfaGZ+hR7Q2O85rsxAHmcyLngQPYToX1glOgxMu63CLbmDciLqsYPdKg==" saltValue="/CFiZowveE8oQ52OjB7X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POZOBLANCO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1219</v>
      </c>
      <c r="AF12" s="229" t="str">
        <f>IF(ISNUMBER(Datos!BV12),Datos!BV12," - ")</f>
        <v xml:space="preserve"> - </v>
      </c>
      <c r="AG12" s="225" t="str">
        <f>IF(ISNUMBER(Datos!DV12),Datos!DV12," - ")</f>
        <v xml:space="preserve"> - </v>
      </c>
      <c r="AH12" s="298"/>
      <c r="AI12" s="227"/>
      <c r="AJ12" s="225">
        <f>IF(ISNUMBER(Datos!M12),Datos!M12," - ")</f>
        <v>73</v>
      </c>
      <c r="AK12" s="229">
        <f>IF(ISNUMBER(Datos!N12),Datos!N12," - ")</f>
        <v>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9.0108303249097474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5.3586862575626622E-2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13</v>
      </c>
      <c r="AA13" s="900">
        <f t="shared" si="2"/>
        <v>24</v>
      </c>
      <c r="AB13" s="900">
        <f t="shared" si="2"/>
        <v>0</v>
      </c>
      <c r="AC13" s="900">
        <f t="shared" si="2"/>
        <v>0</v>
      </c>
      <c r="AD13" s="900">
        <f t="shared" si="2"/>
        <v>0</v>
      </c>
      <c r="AE13" s="900">
        <f t="shared" si="2"/>
        <v>1221</v>
      </c>
      <c r="AF13" s="908">
        <f t="shared" si="2"/>
        <v>0</v>
      </c>
      <c r="AG13" s="908">
        <f t="shared" si="2"/>
        <v>0</v>
      </c>
      <c r="AH13" s="908">
        <f t="shared" si="2"/>
        <v>0</v>
      </c>
      <c r="AI13" s="908">
        <f t="shared" si="2"/>
        <v>0</v>
      </c>
      <c r="AJ13" s="908">
        <f t="shared" si="2"/>
        <v>75</v>
      </c>
      <c r="AK13" s="908">
        <f t="shared" si="2"/>
        <v>84</v>
      </c>
      <c r="AL13" s="908">
        <f t="shared" si="2"/>
        <v>0</v>
      </c>
      <c r="AM13" s="908">
        <f t="shared" si="2"/>
        <v>0</v>
      </c>
      <c r="AN13" s="908">
        <f t="shared" si="2"/>
        <v>0</v>
      </c>
      <c r="AO13" s="904">
        <f>IF(ISNUMBER(((NºAsuntos!I13/NºAsuntos!G13)*11)/factor_trimestre),((NºAsuntos!I13/NºAsuntos!G13)*11)/factor_trimestre," - ")</f>
        <v>9.1387900355871903</v>
      </c>
      <c r="AP13" s="910" t="str">
        <f>IF(ISNUMBER(Datos!CI13/Datos!CJ13),Datos!CI13/Datos!CJ13," - ")</f>
        <v xml:space="preserve"> - </v>
      </c>
      <c r="AQ13" s="928">
        <f t="shared" ref="AQ13:AV13" si="3">SUBTOTAL(9,AQ9:AQ12)</f>
        <v>0</v>
      </c>
      <c r="AR13" s="928">
        <f t="shared" si="3"/>
        <v>5.3586862575626622E-2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417</v>
      </c>
      <c r="G16" s="225">
        <f>IF(ISNUMBER(IF(D_I="SI",Datos!I16,Datos!I16+Datos!AC16)),IF(D_I="SI",Datos!I16,Datos!I16+Datos!AC16)," - ")</f>
        <v>417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448</v>
      </c>
      <c r="Z16" s="619">
        <f>IF(ISNUMBER(Datos!Q16),Datos!Q16," - ")</f>
        <v>14</v>
      </c>
      <c r="AA16" s="332">
        <f>IF(ISNUMBER(IF(D_I="SI",Datos!L16,Datos!L16+Datos!AF16)),IF(D_I="SI",Datos!L16,Datos!L16+Datos!AF16)," - ")</f>
        <v>294</v>
      </c>
      <c r="AB16" s="334"/>
      <c r="AC16" s="334"/>
      <c r="AD16" s="484"/>
      <c r="AE16" s="484">
        <f>IF(ISNUMBER(Datos!R16),Datos!R16," - ")</f>
        <v>34</v>
      </c>
      <c r="AF16" s="229" t="str">
        <f>IF(ISNUMBER(Datos!BV16),Datos!BV16," - ")</f>
        <v xml:space="preserve"> - </v>
      </c>
      <c r="AG16" s="225"/>
      <c r="AH16" s="298"/>
      <c r="AI16" s="227"/>
      <c r="AJ16" s="225">
        <f>IF(ISNUMBER(Datos!M16),Datos!M16," - ")</f>
        <v>39</v>
      </c>
      <c r="AK16" s="229">
        <f>IF(ISNUMBER(Datos!N16),Datos!N16," - ")</f>
        <v>318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1.96875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1</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1.8620689655172413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417</v>
      </c>
      <c r="G18" s="898">
        <f>SUBTOTAL(9,G15:G17)</f>
        <v>445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477</v>
      </c>
      <c r="Z18" s="932">
        <f t="shared" si="5"/>
        <v>15</v>
      </c>
      <c r="AA18" s="932">
        <f t="shared" si="5"/>
        <v>312</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41</v>
      </c>
      <c r="AK18" s="932">
        <f t="shared" si="5"/>
        <v>328</v>
      </c>
      <c r="AL18" s="932">
        <f t="shared" si="5"/>
        <v>0</v>
      </c>
      <c r="AM18" s="932">
        <f t="shared" si="5"/>
        <v>0</v>
      </c>
      <c r="AN18" s="932">
        <f t="shared" si="5"/>
        <v>0</v>
      </c>
      <c r="AO18" s="934">
        <f>IF(ISNUMBER(((NºAsuntos!I18/NºAsuntos!G18)*11)/factor_trimestre),((NºAsuntos!I18/NºAsuntos!G18)*11)/factor_trimestre," - ")</f>
        <v>1.962264150943396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440</v>
      </c>
      <c r="G19" s="820">
        <f t="shared" si="7"/>
        <v>468</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481</v>
      </c>
      <c r="Z19" s="827">
        <f t="shared" si="8"/>
        <v>28</v>
      </c>
      <c r="AA19" s="828">
        <f t="shared" si="8"/>
        <v>336</v>
      </c>
      <c r="AB19" s="828">
        <f t="shared" si="8"/>
        <v>0</v>
      </c>
      <c r="AC19" s="828">
        <f t="shared" si="8"/>
        <v>0</v>
      </c>
      <c r="AD19" s="829">
        <f t="shared" si="8"/>
        <v>0</v>
      </c>
      <c r="AE19" s="829">
        <f t="shared" si="8"/>
        <v>1255</v>
      </c>
      <c r="AF19" s="830">
        <f t="shared" si="8"/>
        <v>0</v>
      </c>
      <c r="AG19" s="831">
        <f t="shared" si="8"/>
        <v>0</v>
      </c>
      <c r="AH19" s="832">
        <f t="shared" si="8"/>
        <v>0</v>
      </c>
      <c r="AI19" s="830">
        <f t="shared" si="8"/>
        <v>0</v>
      </c>
      <c r="AJ19" s="820">
        <f t="shared" si="8"/>
        <v>116</v>
      </c>
      <c r="AK19" s="820">
        <f t="shared" si="8"/>
        <v>412</v>
      </c>
      <c r="AL19" s="820">
        <f t="shared" si="8"/>
        <v>0</v>
      </c>
      <c r="AM19" s="833">
        <f t="shared" si="8"/>
        <v>0</v>
      </c>
      <c r="AN19" s="823">
        <f>IF(ISNUMBER(Datos!K19/Datos!J19),Datos!K19/Datos!J19," - ")</f>
        <v>1.2768959435626102</v>
      </c>
      <c r="AO19" s="823">
        <f>IF(ISNUMBER(FIND("06",Criterios!A8,1)),(IF(ISNUMBER(((Datos!R19/Datos!Q19)*11)/factor_trimestre),((Datos!R19/Datos!Q19)*11)/factor_trimestre," - ")),(IF(ISNUMBER(((Datos!L19/Datos!K19)*11)/factor_trimestre),((Datos!L19/Datos!K19)*11)/factor_trimestre," - ")))</f>
        <v>4.4958563535911598</v>
      </c>
      <c r="AP19" s="834" t="str">
        <f>IF(ISNUMBER(Datos!CI19/Datos!CJ19),Datos!CI19/Datos!CJ19," - ")</f>
        <v xml:space="preserve"> - </v>
      </c>
      <c r="AQ19" s="834">
        <f>IF(OR(ISNUMBER(FIND("01",Criterios!A8,1)),ISNUMBER(FIND("02",Criterios!A8,1)),ISNUMBER(FIND("03",Criterios!A8,1)),ISNUMBER(FIND("04",Criterios!A8,1))),(J19-Y19+K19)/(F19-K19),(I19-Y19+K19)/(F19-K19))</f>
        <v>-1.0931818181818183</v>
      </c>
      <c r="AR19" s="834">
        <f>IF(ISNUMBER((Datos!P19-Datos!Q19+O19)/(Datos!R19-Datos!P19+Datos!Q19-O19)),(Datos!P19-Datos!Q19+O19)/(Datos!R19-Datos!P19+Datos!Q19-O19)," - ")</f>
        <v>4.4962531223980015E-2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227.47600606071256</v>
      </c>
      <c r="G21" s="552">
        <f>IF(ISNUMBER(STDEV(G8:G18)),STDEV(G8:G18),"-")</f>
        <v>222.78734254889795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32.22835190739152</v>
      </c>
      <c r="AK21" s="252"/>
      <c r="AL21" s="252">
        <f>IF(ISNUMBER(STDEV(AL8:AL18)),STDEV(AL8:AL18),"-")</f>
        <v>0</v>
      </c>
      <c r="AM21" s="254">
        <f>IF(ISNUMBER(STDEV(AM8:AM18)),STDEV(AM8:AM18),"-")</f>
        <v>0</v>
      </c>
      <c r="AN21" s="539">
        <f>IF(ISNUMBER(STDEV(AN8:AN18)),STDEV(AN8:AN18),"-")</f>
        <v>0</v>
      </c>
      <c r="AO21" s="540">
        <f>IF(ISNUMBER(STDEV(AO8:AO18)),STDEV(AO8:AO18),"-")</f>
        <v>6.4297419641192874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ltiLIiyIoLZlvYTnQg97+DeEYtnTA/PFHshDcZI/d6nyNkKKtVqAK1Jz8WkgDnY2Wh7x73/Ph9hK/HaLrRzPA==" saltValue="hym8tK9Nib6T2aXep+bK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J9sy1VYpwvyW332pHhlUQa1z6+h29GTVRz8B9PwKydOL64teLcIqy69AyCGYp0BQGlQQl8u1HpiN8r2UEfww==" saltValue="P2rWjAv9v4Ei+f6I1nVy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XmEaFOFq48P3eVXAUJko7yLMmNhLa0eudzD0macKvy6hS3673cCyRKzhUWi4dNh3zUuMUeynRIiOjRfH35V0Q==" saltValue="UvMIOTy4plzpYJN5xIr/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0.2669039145907473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0.18872956793235252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y7U6o+aqySiOtv7soJ3bkAbfMG5J07M+rnFia9i2QHr7rz/UIaE+RgU17BdDr1QOStBGceR1IIwzbm4EKJ7ZA==" saltValue="sb1PuIg/8G/zye1hrh9V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JY3FxQCccRe5VACjc+1dSU9QYi9eatxA9vLLxIj+mJF6sl2cDSS0YHZSkhcX/fZRxzwIOI8jPChDmktA//kYw==" saltValue="5ja0apr+3vYEct9tMSq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POZOBLANCO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v>
      </c>
      <c r="AM12" s="690">
        <f>IF(ISNUMBER(Datos!N12+DatosP!N16),Datos!N12+DatosP!N16," - ")</f>
        <v>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9.0108303249097474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5.3586862575626622E-2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13</v>
      </c>
      <c r="AE13" s="939">
        <f t="shared" si="1"/>
        <v>0</v>
      </c>
      <c r="AF13" s="939">
        <f t="shared" si="1"/>
        <v>24</v>
      </c>
      <c r="AG13" s="939">
        <f t="shared" si="1"/>
        <v>0</v>
      </c>
      <c r="AH13" s="939">
        <f t="shared" si="1"/>
        <v>1219</v>
      </c>
      <c r="AI13" s="939">
        <f t="shared" si="1"/>
        <v>0</v>
      </c>
      <c r="AJ13" s="939">
        <f t="shared" si="1"/>
        <v>0</v>
      </c>
      <c r="AK13" s="939">
        <f t="shared" si="1"/>
        <v>0</v>
      </c>
      <c r="AL13" s="939">
        <f t="shared" si="1"/>
        <v>75</v>
      </c>
      <c r="AM13" s="939">
        <f t="shared" si="1"/>
        <v>84</v>
      </c>
      <c r="AN13" s="939">
        <f t="shared" si="1"/>
        <v>0</v>
      </c>
      <c r="AO13" s="939">
        <f t="shared" si="1"/>
        <v>0</v>
      </c>
      <c r="AP13" s="944">
        <f>IF(ISNUMBER(((Datos!L13/Datos!K13)*11)/factor_trimestre),((Datos!L13/Datos!K13)*11)/factor_trimestre," - ")</f>
        <v>9.3886639676113344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-0.17391304347826086</v>
      </c>
      <c r="AU13" s="939" t="str">
        <f>IF(ISNUMBER((DatosP!#REF!-DatosP!#REF!+DatosP!#REF!)/(DatosP!#REF!+DatosP!#REF!-DatosP!#REF!-DatosP!#REF!)),(DatosP!#REF!-DatosP!#REF!+DatosP!#REF!)/(DatosP!#REF!+DatosP!#REF!-DatosP!#REF!-DatosP!#REF!)," - ")</f>
        <v xml:space="preserve"> - </v>
      </c>
      <c r="AV13" s="945">
        <f>SUBTOTAL(9,AV9:AV12)</f>
        <v>5.3586862575626622E-2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1.962264150943396</v>
      </c>
      <c r="AQ18" s="944">
        <f>IF(ISNUMBER(((Datos!M18/Datos!L18)*11)/factor_trimestre),((Datos!M18/Datos!L18)*11)/factor_trimestre," - ")</f>
        <v>0.39423076923076922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-0.19047619047619047</v>
      </c>
      <c r="AW18" s="946">
        <f>IF(ISNUMBER((Datos!Q18-Datos!R18)/(Datos!S18-Datos!Q18+Datos!R18)),(Datos!Q18-Datos!R18)/(Datos!S18-Datos!Q18+Datos!R18)," - ")</f>
        <v>-4.148471615720524E-2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13</v>
      </c>
      <c r="AE19" s="957">
        <f t="shared" si="5"/>
        <v>0</v>
      </c>
      <c r="AF19" s="958">
        <f t="shared" si="5"/>
        <v>24</v>
      </c>
      <c r="AG19" s="958">
        <f t="shared" si="5"/>
        <v>0</v>
      </c>
      <c r="AH19" s="958">
        <f t="shared" si="5"/>
        <v>1219</v>
      </c>
      <c r="AI19" s="958">
        <f t="shared" si="5"/>
        <v>0</v>
      </c>
      <c r="AJ19" s="959">
        <f t="shared" si="5"/>
        <v>0</v>
      </c>
      <c r="AK19" s="959">
        <f t="shared" si="5"/>
        <v>0</v>
      </c>
      <c r="AL19" s="951">
        <f t="shared" si="5"/>
        <v>75</v>
      </c>
      <c r="AM19" s="951">
        <f t="shared" si="5"/>
        <v>84</v>
      </c>
      <c r="AN19" s="951">
        <f t="shared" si="5"/>
        <v>0</v>
      </c>
      <c r="AO19" s="951">
        <f t="shared" si="5"/>
        <v>0</v>
      </c>
      <c r="AP19" s="951">
        <f>IF(ISNUMBER(((Datos!L19/Datos!K19)*11)/factor_trimestre),((Datos!L19/Datos!K19)*11)/factor_trimestre," - ")</f>
        <v>4.4958563535911598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-0.17391304347826086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4.4962531223980015E-2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42.16238449929827</v>
      </c>
      <c r="AM21" s="736"/>
      <c r="AN21" s="736">
        <f>IF(ISNUMBER(STDEV(AN8:AN18)),STDEV(AN8:AN18),"-")</f>
        <v>0</v>
      </c>
      <c r="AO21" s="742">
        <f>IF(ISNUMBER(STDEV(AO8:AO18)),STDEV(AO8:AO18),"-")</f>
        <v>0</v>
      </c>
      <c r="AP21" s="779">
        <f>IF(ISNUMBER(STDEV(AP8:AP18)),STDEV(AP8:AP18),"-")</f>
        <v>6.5647144421377153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CqqHR5nFoSNyuX2afap6uieostDs5+u8DeW0Hl9+6+RlmO8N7aiieFJtZVzph7LHDm4YUCK43p8fIygcb15w==" saltValue="Qu3ZntizDV5pGOKagr4+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